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eddabe5d7ffeab51/Desktop/calculator/XANDERIA/"/>
    </mc:Choice>
  </mc:AlternateContent>
  <xr:revisionPtr revIDLastSave="1125" documentId="13_ncr:1_{7B402A89-0392-4C70-A725-30B20B8CDC43}" xr6:coauthVersionLast="47" xr6:coauthVersionMax="47" xr10:uidLastSave="{B8819D90-37ED-467B-86E5-AA39EA7BE199}"/>
  <bookViews>
    <workbookView xWindow="-120" yWindow="-120" windowWidth="29040" windowHeight="15720" xr2:uid="{93E1C693-70AE-41D0-84F2-E39812DDC58C}"/>
  </bookViews>
  <sheets>
    <sheet name="Calculator" sheetId="1" r:id="rId1"/>
  </sheets>
  <definedNames>
    <definedName name="_0101ref" localSheetId="0">Calculator!$I$67</definedName>
    <definedName name="_0101ref">#REF!</definedName>
    <definedName name="_0201" localSheetId="0">Calculator!$C$71</definedName>
    <definedName name="_0201">#REF!</definedName>
    <definedName name="_0201ref" localSheetId="0">Calculator!$I$71</definedName>
    <definedName name="_0201ref">#REF!</definedName>
    <definedName name="_0801" localSheetId="0">Calculator!$C$69</definedName>
    <definedName name="_0801">#REF!</definedName>
    <definedName name="_0801ref" localSheetId="0">Calculator!$I$69</definedName>
    <definedName name="_0801ref">#REF!</definedName>
    <definedName name="_fee1" localSheetId="0">Calculator!$G$61</definedName>
    <definedName name="_fee1">#REF!</definedName>
    <definedName name="_fee2" localSheetId="0">Calculator!$G$63</definedName>
    <definedName name="_fee2">#REF!</definedName>
    <definedName name="_fee3" localSheetId="0">Calculator!$G$65</definedName>
    <definedName name="_fee3">#REF!</definedName>
    <definedName name="_xlnm._FilterDatabase" localSheetId="0" hidden="1">Calculator!$G$8:$K$8</definedName>
    <definedName name="_PIF1" localSheetId="0">Calculator!$G$33</definedName>
    <definedName name="_PIF1">#REF!</definedName>
    <definedName name="_PIF10" localSheetId="0">Calculator!$G$47</definedName>
    <definedName name="_PIF10">#REF!</definedName>
    <definedName name="_PIF11" localSheetId="0">Calculator!$G$48</definedName>
    <definedName name="_PIF11">#REF!</definedName>
    <definedName name="_PIF12" localSheetId="0">Calculator!#REF!</definedName>
    <definedName name="_PIF12">#REF!</definedName>
    <definedName name="_PIF2" localSheetId="0">Calculator!$G$34</definedName>
    <definedName name="_PIF2">#REF!</definedName>
    <definedName name="_PIF3" localSheetId="0">Calculator!$G$36</definedName>
    <definedName name="_PIF3">#REF!</definedName>
    <definedName name="_PIF4" localSheetId="0">Calculator!$G$37</definedName>
    <definedName name="_PIF4">#REF!</definedName>
    <definedName name="_PIF5" localSheetId="0">Calculator!$G$38</definedName>
    <definedName name="_PIF5">#REF!</definedName>
    <definedName name="_PIF6" localSheetId="0">Calculator!$G$39</definedName>
    <definedName name="_PIF6">#REF!</definedName>
    <definedName name="_PIF7" localSheetId="0">Calculator!$G$40</definedName>
    <definedName name="_PIF7">#REF!</definedName>
    <definedName name="_PIF8" localSheetId="0">Calculator!$G$41</definedName>
    <definedName name="_PIF8">#REF!</definedName>
    <definedName name="_PIF9" localSheetId="0">Calculator!$G$44</definedName>
    <definedName name="_PIF9">#REF!</definedName>
    <definedName name="_sub4" localSheetId="0">Calculator!$J$73</definedName>
    <definedName name="_sub4">#REF!</definedName>
    <definedName name="adjust" localSheetId="0">Calculator!$E$24</definedName>
    <definedName name="adjust">#REF!</definedName>
    <definedName name="agentcontact" localSheetId="0">Calculator!$D$92</definedName>
    <definedName name="agentcontact">#REF!</definedName>
    <definedName name="agentID" localSheetId="0">Calculator!$H$90</definedName>
    <definedName name="agentID">#REF!</definedName>
    <definedName name="agentName" localSheetId="0">Calculator!$D$90</definedName>
    <definedName name="agentName">#REF!</definedName>
    <definedName name="approvedBy" localSheetId="0">Calculator!$H$98</definedName>
    <definedName name="approvedBy">#REF!</definedName>
    <definedName name="approvedDate" localSheetId="0">Calculator!$H$100</definedName>
    <definedName name="approvedDate">#REF!</definedName>
    <definedName name="bpaAgeLoanMature" localSheetId="0">Calculator!$G$86</definedName>
    <definedName name="bpaAgeLoanMature">#REF!</definedName>
    <definedName name="bpaDedAmt1" localSheetId="0">Calculator!$E$82</definedName>
    <definedName name="bpaDedAmt1">#REF!</definedName>
    <definedName name="bpaDedAmt2" localSheetId="0">Calculator!$E$83</definedName>
    <definedName name="bpaDedAmt2">#REF!</definedName>
    <definedName name="bpaDedAmt3" localSheetId="0">Calculator!$F$84</definedName>
    <definedName name="bpaDedAmt3">#REF!</definedName>
    <definedName name="bpaDedAmt4" localSheetId="0">Calculator!$F$85</definedName>
    <definedName name="bpaDedAmt4">#REF!</definedName>
    <definedName name="bpaDedAmt5" localSheetId="0">Calculator!$F$86</definedName>
    <definedName name="bpaDedAmt5">#REF!</definedName>
    <definedName name="bpaDedCod1" localSheetId="0">Calculator!$B$82</definedName>
    <definedName name="bpaDedCod1">#REF!</definedName>
    <definedName name="bpaDedCod2" localSheetId="0">Calculator!$B$83</definedName>
    <definedName name="bpaDedCod2">#REF!</definedName>
    <definedName name="bpaDedCod3" localSheetId="0">Calculator!$C$84</definedName>
    <definedName name="bpaDedCod3">#REF!</definedName>
    <definedName name="bpaDedCod4" localSheetId="0">Calculator!$C$85</definedName>
    <definedName name="bpaDedCod4">#REF!</definedName>
    <definedName name="bpaDedCod5" localSheetId="0">Calculator!$C$86</definedName>
    <definedName name="bpaDedCod5">#REF!</definedName>
    <definedName name="bpaDedLimit" localSheetId="0">Calculator!$H$83</definedName>
    <definedName name="bpaDedLimit">#REF!</definedName>
    <definedName name="bpaDedTotal" localSheetId="0">Calculator!$F$87</definedName>
    <definedName name="bpaDedTotal">#REF!</definedName>
    <definedName name="bpaEndMth1" localSheetId="0">Calculator!$D$82</definedName>
    <definedName name="bpaEndMth1">#REF!</definedName>
    <definedName name="bpaEndMth2" localSheetId="0">Calculator!$D$83</definedName>
    <definedName name="bpaEndMth2">#REF!</definedName>
    <definedName name="bpaEndMth3" localSheetId="0">Calculator!$E$84</definedName>
    <definedName name="bpaEndMth3">#REF!</definedName>
    <definedName name="bpaEndMth4" localSheetId="0">Calculator!$E$85</definedName>
    <definedName name="bpaEndMth4">#REF!</definedName>
    <definedName name="bpaEndMth5" localSheetId="0">Calculator!$E$86</definedName>
    <definedName name="bpaEndMth5">#REF!</definedName>
    <definedName name="bpaStrMth1" localSheetId="0">Calculator!$C$82</definedName>
    <definedName name="bpaStrMth1">#REF!</definedName>
    <definedName name="bpaStrMth2" localSheetId="0">Calculator!$C$83</definedName>
    <definedName name="bpaStrMth2">#REF!</definedName>
    <definedName name="bpaStrMth3" localSheetId="0">Calculator!$D$84</definedName>
    <definedName name="bpaStrMth3">#REF!</definedName>
    <definedName name="bpaStrMth4" localSheetId="0">Calculator!$D$85</definedName>
    <definedName name="bpaStrMth4">#REF!</definedName>
    <definedName name="bpaStrMth5" localSheetId="0">Calculator!$D$86</definedName>
    <definedName name="bpaStrMth5">#REF!</definedName>
    <definedName name="calc60" localSheetId="0">Calculator!#REF!</definedName>
    <definedName name="calc60">#REF!</definedName>
    <definedName name="calc605" localSheetId="0">Calculator!#REF!</definedName>
    <definedName name="calc605">#REF!</definedName>
    <definedName name="calc6055" localSheetId="0">Calculator!#REF!</definedName>
    <definedName name="calc6055">#REF!</definedName>
    <definedName name="calc65" localSheetId="0">Calculator!#REF!</definedName>
    <definedName name="calc65">#REF!</definedName>
    <definedName name="calcDate" localSheetId="0">Calculator!$C$98</definedName>
    <definedName name="calcDate">#REF!</definedName>
    <definedName name="custAgeNext" localSheetId="0">Calculator!$H$18</definedName>
    <definedName name="custAgeNext">#REF!</definedName>
    <definedName name="custBank" localSheetId="0">Calculator!$C$14</definedName>
    <definedName name="custBank">#REF!</definedName>
    <definedName name="custCompany" localSheetId="0">Calculator!$C$10</definedName>
    <definedName name="custCompany">#REF!</definedName>
    <definedName name="custContact" localSheetId="0">Calculator!$C$8</definedName>
    <definedName name="custContact">#REF!</definedName>
    <definedName name="custContact2" localSheetId="0">Calculator!$E$8</definedName>
    <definedName name="custContact2">#REF!</definedName>
    <definedName name="custDateEmploy" localSheetId="0">Calculator!$H$10</definedName>
    <definedName name="custDateEmploy">#REF!</definedName>
    <definedName name="custDOB" localSheetId="0">Calculator!$H$6</definedName>
    <definedName name="custDOB">#REF!</definedName>
    <definedName name="custDuct" localSheetId="0">Calculator!$E$28</definedName>
    <definedName name="custDuct">#REF!</definedName>
    <definedName name="custFixed" localSheetId="0">Calculator!$E$22</definedName>
    <definedName name="custFixed">#REF!</definedName>
    <definedName name="custFixedTotal" localSheetId="0">Calculator!$F$24</definedName>
    <definedName name="custFixedTotal">#REF!</definedName>
    <definedName name="CustGender" localSheetId="0">Calculator!$H$8</definedName>
    <definedName name="CustGender">#REF!</definedName>
    <definedName name="custHeight" localSheetId="0">Calculator!$C$12</definedName>
    <definedName name="custHeight">#REF!</definedName>
    <definedName name="custIC" localSheetId="0">Calculator!$C$6</definedName>
    <definedName name="custIC">#REF!</definedName>
    <definedName name="custName" localSheetId="0">Calculator!$C$4</definedName>
    <definedName name="custName">#REF!</definedName>
    <definedName name="custPaySlipMonth" localSheetId="0">Calculator!#REF!</definedName>
    <definedName name="custPaySlipMonth">#REF!</definedName>
    <definedName name="custPosition" localSheetId="0">Calculator!$C$16</definedName>
    <definedName name="custPosition">#REF!</definedName>
    <definedName name="custRace" localSheetId="0">Calculator!$H$14</definedName>
    <definedName name="custRace">#REF!</definedName>
    <definedName name="custResident" localSheetId="0">Calculator!$H$12</definedName>
    <definedName name="custResident">#REF!</definedName>
    <definedName name="custWeight" localSheetId="0">Calculator!$D$12</definedName>
    <definedName name="custWeight">#REF!</definedName>
    <definedName name="detCode1" localSheetId="0">Calculator!$A$33</definedName>
    <definedName name="detCode1">#REF!</definedName>
    <definedName name="detCode10" localSheetId="0">Calculator!$A$47</definedName>
    <definedName name="detCode10">#REF!</definedName>
    <definedName name="detCode11" localSheetId="0">Calculator!$A$48</definedName>
    <definedName name="detCode11">#REF!</definedName>
    <definedName name="detCode2" localSheetId="0">Calculator!$A$34</definedName>
    <definedName name="detCode2">#REF!</definedName>
    <definedName name="detCode3" localSheetId="0">Calculator!$A$36</definedName>
    <definedName name="detCode3">#REF!</definedName>
    <definedName name="detCode4" localSheetId="0">Calculator!$A$37</definedName>
    <definedName name="detCode4">#REF!</definedName>
    <definedName name="detCode5" localSheetId="0">Calculator!$A$38</definedName>
    <definedName name="detCode5">#REF!</definedName>
    <definedName name="detCode6" localSheetId="0">Calculator!$A$39</definedName>
    <definedName name="detCode6">#REF!</definedName>
    <definedName name="detCode7" localSheetId="0">Calculator!$A$40</definedName>
    <definedName name="detCode7">#REF!</definedName>
    <definedName name="detCode8" localSheetId="0">Calculator!$A$41</definedName>
    <definedName name="detCode8">#REF!</definedName>
    <definedName name="detCode9" localSheetId="0">Calculator!$A$44</definedName>
    <definedName name="detCode9">#REF!</definedName>
    <definedName name="detView1" localSheetId="0">Calculator!$B$33</definedName>
    <definedName name="detView1">#REF!</definedName>
    <definedName name="detView10" localSheetId="0">Calculator!$B$47</definedName>
    <definedName name="detView10">#REF!</definedName>
    <definedName name="detView11" localSheetId="0">Calculator!$B$48</definedName>
    <definedName name="detView11">#REF!</definedName>
    <definedName name="detView2" localSheetId="0">Calculator!$B$34</definedName>
    <definedName name="detView2">#REF!</definedName>
    <definedName name="detView3" localSheetId="0">Calculator!$B$36</definedName>
    <definedName name="detView3">#REF!</definedName>
    <definedName name="detView4" localSheetId="0">Calculator!$B$37</definedName>
    <definedName name="detView4">#REF!</definedName>
    <definedName name="detView5" localSheetId="0">Calculator!$B$38</definedName>
    <definedName name="detView5">#REF!</definedName>
    <definedName name="detView6" localSheetId="0">Calculator!$B$39</definedName>
    <definedName name="detView6">#REF!</definedName>
    <definedName name="detView7" localSheetId="0">Calculator!$B$40</definedName>
    <definedName name="detView7">#REF!</definedName>
    <definedName name="detView8" localSheetId="0">Calculator!$B$41</definedName>
    <definedName name="detView8">#REF!</definedName>
    <definedName name="detView9" localSheetId="0">Calculator!$B$44</definedName>
    <definedName name="detView9">#REF!</definedName>
    <definedName name="disburse" localSheetId="0">Calculator!$G$55</definedName>
    <definedName name="disburse">#REF!</definedName>
    <definedName name="InstTotal" localSheetId="0">Calculator!$C$75</definedName>
    <definedName name="InstTotal">#REF!</definedName>
    <definedName name="insuran" localSheetId="0">Calculator!$C$73</definedName>
    <definedName name="insuran">#REF!</definedName>
    <definedName name="insuranref" localSheetId="0">Calculator!$I$73</definedName>
    <definedName name="insuranref">#REF!</definedName>
    <definedName name="Interest" localSheetId="0">Calculator!$C$57</definedName>
    <definedName name="Interest">#REF!</definedName>
    <definedName name="jobCode" localSheetId="0">Calculator!$H$16</definedName>
    <definedName name="jobCode">#REF!</definedName>
    <definedName name="LA" localSheetId="0">Calculator!$C$55</definedName>
    <definedName name="LA">#REF!</definedName>
    <definedName name="loanInst" localSheetId="0">Calculator!$C$65</definedName>
    <definedName name="loanInst">#REF!</definedName>
    <definedName name="loanInstref" localSheetId="0">Calculator!$I$65</definedName>
    <definedName name="loanInstref">#REF!</definedName>
    <definedName name="max" localSheetId="0">Calculator!$E$26</definedName>
    <definedName name="max">#REF!</definedName>
    <definedName name="maxDeduct" localSheetId="0">Calculator!$F$26</definedName>
    <definedName name="maxDeduct">#REF!</definedName>
    <definedName name="maxLoan" localSheetId="0">Calculator!$I$55</definedName>
    <definedName name="maxLoan">#REF!</definedName>
    <definedName name="maxTimes" localSheetId="0">Calculator!$D$115</definedName>
    <definedName name="maxTimes">#REF!</definedName>
    <definedName name="MTD" localSheetId="0">Calculator!$I$6</definedName>
    <definedName name="MTD">#REF!</definedName>
    <definedName name="newNetSalary" localSheetId="0">Calculator!$C$78</definedName>
    <definedName name="newNetSalary">#REF!</definedName>
    <definedName name="OldNetSalary" localSheetId="0">Calculator!$G$78</definedName>
    <definedName name="OldNetSalary">#REF!</definedName>
    <definedName name="PayslipMonth" localSheetId="0">Calculator!$H$22</definedName>
    <definedName name="PayslipMonth">#REF!</definedName>
    <definedName name="PIFEst1" localSheetId="0">Calculator!$F$33</definedName>
    <definedName name="PIFEst1">#REF!</definedName>
    <definedName name="PIFEst10" localSheetId="0">Calculator!$F$47</definedName>
    <definedName name="PIFEst10">#REF!</definedName>
    <definedName name="PIFEst11" localSheetId="0">Calculator!$F$48</definedName>
    <definedName name="PIFEst11">#REF!</definedName>
    <definedName name="PIFEst12" localSheetId="0">Calculator!#REF!</definedName>
    <definedName name="PIFEst12">#REF!</definedName>
    <definedName name="PIFEst2" localSheetId="0">Calculator!$F$34</definedName>
    <definedName name="PIFEst2">#REF!</definedName>
    <definedName name="PIFEst3" localSheetId="0">Calculator!$F$36</definedName>
    <definedName name="PIFEst3">#REF!</definedName>
    <definedName name="PIFEst4" localSheetId="0">Calculator!$F$37</definedName>
    <definedName name="PIFEst4">#REF!</definedName>
    <definedName name="PIFEst5" localSheetId="0">Calculator!$F$38</definedName>
    <definedName name="PIFEst5">#REF!</definedName>
    <definedName name="PIFEst6" localSheetId="0">Calculator!$F$39</definedName>
    <definedName name="PIFEst6">#REF!</definedName>
    <definedName name="PIFEst7" localSheetId="0">Calculator!$F$40</definedName>
    <definedName name="PIFEst7">#REF!</definedName>
    <definedName name="PIFEst8" localSheetId="0">Calculator!$F$41</definedName>
    <definedName name="PIFEst8">#REF!</definedName>
    <definedName name="PIFEst9" localSheetId="0">Calculator!$F$44</definedName>
    <definedName name="PIFEst9">#REF!</definedName>
    <definedName name="PIFMonth1" localSheetId="0">Calculator!$E$33</definedName>
    <definedName name="PIFMonth1">#REF!</definedName>
    <definedName name="PIFMonth10" localSheetId="0">Calculator!$E$47</definedName>
    <definedName name="PIFMonth10">#REF!</definedName>
    <definedName name="PIFMonth11" localSheetId="0">Calculator!$E$48</definedName>
    <definedName name="PIFMonth11">#REF!</definedName>
    <definedName name="PIFMonth12" localSheetId="0">Calculator!#REF!</definedName>
    <definedName name="PIFMonth12">#REF!</definedName>
    <definedName name="PIFMonth2" localSheetId="0">Calculator!$E$34</definedName>
    <definedName name="PIFMonth2">#REF!</definedName>
    <definedName name="PIFMonth3" localSheetId="0">Calculator!$E$36</definedName>
    <definedName name="PIFMonth3">#REF!</definedName>
    <definedName name="PIFMonth4" localSheetId="0">Calculator!$E$37</definedName>
    <definedName name="PIFMonth4">#REF!</definedName>
    <definedName name="PIFMonth5" localSheetId="0">Calculator!$E$38</definedName>
    <definedName name="PIFMonth5">#REF!</definedName>
    <definedName name="PIFMonth6" localSheetId="0">Calculator!$E$39</definedName>
    <definedName name="PIFMonth6">#REF!</definedName>
    <definedName name="PIFMonth7" localSheetId="0">Calculator!$E$40</definedName>
    <definedName name="PIFMonth7">#REF!</definedName>
    <definedName name="PIFMonth8" localSheetId="0">Calculator!$E$41</definedName>
    <definedName name="PIFMonth8">#REF!</definedName>
    <definedName name="PIFMonth9" localSheetId="0">Calculator!$E$44</definedName>
    <definedName name="PIFMonth9">#REF!</definedName>
    <definedName name="PIFMonthTotal" localSheetId="0">Calculator!$E$49</definedName>
    <definedName name="PIFMonthTotal">#REF!</definedName>
    <definedName name="PIFTotal" localSheetId="0">Calculator!$G$49</definedName>
    <definedName name="PIFTotal">#REF!</definedName>
    <definedName name="_xlnm.Print_Area" localSheetId="0">Calculator!$A$1:$H$106</definedName>
    <definedName name="processedBy" localSheetId="0">Calculator!$C$102</definedName>
    <definedName name="processedBy">#REF!</definedName>
    <definedName name="Qualified" localSheetId="0">Calculator!$E$51</definedName>
    <definedName name="Qualified">#REF!</definedName>
    <definedName name="QualifyWoutSettlement" localSheetId="0">Calculator!$E$30</definedName>
    <definedName name="QualifyWoutSettlement">#REF!</definedName>
    <definedName name="Receivable" localSheetId="0">Calculator!$G$57</definedName>
    <definedName name="Receivable">#REF!</definedName>
    <definedName name="recommendBy" localSheetId="0">Calculator!$F$98</definedName>
    <definedName name="recommendBy">#REF!</definedName>
    <definedName name="recvdDate" localSheetId="0">Calculator!$H$92</definedName>
    <definedName name="recvdDate">#REF!</definedName>
    <definedName name="refno" localSheetId="0">Calculator!$H$4</definedName>
    <definedName name="refno">#REF!</definedName>
    <definedName name="remLine1" localSheetId="0">Calculator!$C$90</definedName>
    <definedName name="remLine1">#REF!</definedName>
    <definedName name="remLine2" localSheetId="0">Calculator!$A$92</definedName>
    <definedName name="remLine2">#REF!</definedName>
    <definedName name="remLine3" localSheetId="0">Calculator!$A$94</definedName>
    <definedName name="remLine3">#REF!</definedName>
    <definedName name="remLine4" localSheetId="0">Calculator!$A$96</definedName>
    <definedName name="remLine4">#REF!</definedName>
    <definedName name="SA" localSheetId="0">Calculator!$F$73</definedName>
    <definedName name="SA">#REF!</definedName>
    <definedName name="serialNo" localSheetId="0">Calculator!$C$100</definedName>
    <definedName name="serialNo">#REF!</definedName>
    <definedName name="setDet1" localSheetId="0">Calculator!$C$33</definedName>
    <definedName name="setDet1">#REF!</definedName>
    <definedName name="setDet10" localSheetId="0">Calculator!$C$47</definedName>
    <definedName name="setDet10">#REF!</definedName>
    <definedName name="setDet11" localSheetId="0">Calculator!$C$48</definedName>
    <definedName name="setDet11">#REF!</definedName>
    <definedName name="setDet2" localSheetId="0">Calculator!$C$34</definedName>
    <definedName name="setDet2">#REF!</definedName>
    <definedName name="setDet3" localSheetId="0">Calculator!$C$36</definedName>
    <definedName name="setDet3">#REF!</definedName>
    <definedName name="setDet4" localSheetId="0">Calculator!$C$37</definedName>
    <definedName name="setDet4">#REF!</definedName>
    <definedName name="setDet5" localSheetId="0">Calculator!$C$38</definedName>
    <definedName name="setDet5">#REF!</definedName>
    <definedName name="setDet6" localSheetId="0">Calculator!$C$39</definedName>
    <definedName name="setDet6">#REF!</definedName>
    <definedName name="setDet7" localSheetId="0">Calculator!$C$40</definedName>
    <definedName name="setDet7">#REF!</definedName>
    <definedName name="setDet8" localSheetId="0">Calculator!$C$41</definedName>
    <definedName name="setDet8">#REF!</definedName>
    <definedName name="setDet9" localSheetId="0">Calculator!$C$44</definedName>
    <definedName name="setDet9">#REF!</definedName>
    <definedName name="SFund" localSheetId="0">Calculator!$C$69</definedName>
    <definedName name="SFund">#REF!</definedName>
    <definedName name="signBy" localSheetId="0">Calculator!$C$104</definedName>
    <definedName name="signBy">#REF!</definedName>
    <definedName name="Term" localSheetId="0">Calculator!$C$59</definedName>
    <definedName name="Term">#REF!</definedName>
    <definedName name="TermRef" localSheetId="0">Calculator!$I$61</definedName>
    <definedName name="TermRef">#REF!</definedName>
    <definedName name="testPR" localSheetId="0">Calculator!$K$10</definedName>
    <definedName name="testPR">#REF!</definedName>
    <definedName name="testSA" localSheetId="0">Calculator!$J$10</definedName>
    <definedName name="testSA">#REF!</definedName>
    <definedName name="weight" localSheetId="0">Calculator!$E$12</definedName>
    <definedName name="weight">#REF!</definedName>
    <definedName name="Yuran" localSheetId="0">Calculator!$C$67</definedName>
    <definedName name="Yuran">#REF!</definedName>
    <definedName name="Z_49E0E16B_677D_4B93_B071_95F9E8793323_.wvu.PrintArea" localSheetId="0" hidden="1">Calculator!$B$1:$H$100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65" i="1"/>
  <c r="G34" i="1" l="1"/>
  <c r="J35" i="1"/>
  <c r="C98" i="1"/>
  <c r="J81" i="1" s="1"/>
  <c r="E87" i="1"/>
  <c r="B86" i="1"/>
  <c r="J85" i="1"/>
  <c r="I85" i="1"/>
  <c r="G85" i="1"/>
  <c r="J84" i="1"/>
  <c r="I84" i="1"/>
  <c r="J83" i="1"/>
  <c r="I83" i="1"/>
  <c r="G82" i="1"/>
  <c r="I81" i="1"/>
  <c r="F81" i="1"/>
  <c r="E81" i="1"/>
  <c r="D81" i="1"/>
  <c r="C81" i="1"/>
  <c r="I80" i="1"/>
  <c r="I73" i="1"/>
  <c r="I71" i="1"/>
  <c r="I69" i="1"/>
  <c r="I67" i="1"/>
  <c r="J65" i="1"/>
  <c r="I65" i="1" s="1"/>
  <c r="C65" i="1" s="1"/>
  <c r="G57" i="1"/>
  <c r="E49" i="1"/>
  <c r="J49" i="1" s="1"/>
  <c r="J48" i="1"/>
  <c r="I48" i="1"/>
  <c r="H48" i="1"/>
  <c r="B48" i="1"/>
  <c r="J47" i="1"/>
  <c r="I47" i="1"/>
  <c r="H47" i="1"/>
  <c r="B47" i="1"/>
  <c r="J44" i="1"/>
  <c r="I44" i="1"/>
  <c r="H44" i="1"/>
  <c r="B44" i="1"/>
  <c r="J41" i="1"/>
  <c r="I41" i="1"/>
  <c r="H41" i="1"/>
  <c r="B41" i="1"/>
  <c r="J39" i="1"/>
  <c r="I39" i="1"/>
  <c r="H39" i="1"/>
  <c r="B39" i="1"/>
  <c r="J38" i="1"/>
  <c r="I38" i="1"/>
  <c r="H38" i="1"/>
  <c r="B38" i="1"/>
  <c r="J37" i="1"/>
  <c r="I37" i="1" s="1"/>
  <c r="H37" i="1" s="1"/>
  <c r="B37" i="1"/>
  <c r="J36" i="1"/>
  <c r="I36" i="1" s="1"/>
  <c r="H36" i="1"/>
  <c r="B36" i="1"/>
  <c r="J34" i="1"/>
  <c r="H34" i="1"/>
  <c r="B34" i="1"/>
  <c r="J33" i="1"/>
  <c r="I33" i="1" s="1"/>
  <c r="H33" i="1"/>
  <c r="B33" i="1"/>
  <c r="F24" i="1"/>
  <c r="J57" i="1" s="1"/>
  <c r="I8" i="1"/>
  <c r="K10" i="1"/>
  <c r="H6" i="1"/>
  <c r="H18" i="1" s="1"/>
  <c r="L61" i="1" s="1"/>
  <c r="K61" i="1" s="1"/>
  <c r="I61" i="1" s="1"/>
  <c r="J10" i="1"/>
  <c r="I34" i="1" l="1"/>
  <c r="E26" i="1"/>
  <c r="E30" i="1" s="1"/>
  <c r="G78" i="1"/>
  <c r="D69" i="1"/>
  <c r="C67" i="1" s="1"/>
  <c r="F82" i="1" s="1"/>
  <c r="D57" i="1"/>
  <c r="D59" i="1"/>
  <c r="I86" i="1"/>
  <c r="I35" i="1"/>
  <c r="G35" i="1" s="1"/>
  <c r="G49" i="1" s="1"/>
  <c r="F83" i="1"/>
  <c r="J86" i="1"/>
  <c r="E51" i="1"/>
  <c r="I6" i="1"/>
  <c r="I4" i="1" s="1"/>
  <c r="J4" i="1" s="1"/>
  <c r="N80" i="1"/>
  <c r="M80" i="1"/>
  <c r="J80" i="1"/>
  <c r="H35" i="1"/>
  <c r="C75" i="1" l="1"/>
  <c r="C78" i="1" s="1"/>
  <c r="I82" i="1"/>
  <c r="J53" i="1"/>
  <c r="I53" i="1" s="1"/>
  <c r="J71" i="1"/>
  <c r="F87" i="1"/>
  <c r="I88" i="1" s="1"/>
  <c r="H32" i="1" s="1"/>
  <c r="G67" i="1"/>
  <c r="H40" i="1" s="1"/>
  <c r="G59" i="1"/>
  <c r="I49" i="1"/>
  <c r="H49" i="1" s="1"/>
  <c r="J73" i="1"/>
  <c r="J82" i="1"/>
  <c r="J6" i="1"/>
  <c r="G86" i="1" s="1"/>
  <c r="K80" i="1"/>
  <c r="K81" i="1" s="1"/>
  <c r="N81" i="1"/>
  <c r="O81" i="1" s="1"/>
  <c r="E75" i="1" l="1"/>
  <c r="H83" i="1"/>
  <c r="L55" i="1"/>
  <c r="K55" i="1" s="1"/>
  <c r="J55" i="1" s="1"/>
  <c r="D82" i="1"/>
  <c r="D83" i="1"/>
  <c r="N86" i="1"/>
  <c r="O87" i="1" s="1"/>
  <c r="L81" i="1"/>
  <c r="M81" i="1" s="1"/>
  <c r="L86" i="1"/>
  <c r="M87" i="1" s="1"/>
  <c r="I55" i="1" l="1"/>
  <c r="D55" i="1" s="1"/>
  <c r="N88" i="1"/>
  <c r="O86" i="1"/>
  <c r="N87" i="1" s="1"/>
  <c r="M86" i="1"/>
  <c r="L87" i="1" s="1"/>
  <c r="L88" i="1"/>
  <c r="M82" i="1"/>
  <c r="M83" i="1" s="1"/>
  <c r="M84" i="1" s="1"/>
  <c r="N83" i="1" s="1"/>
  <c r="M88" i="1" l="1"/>
  <c r="O88" i="1"/>
  <c r="N84" i="1"/>
  <c r="O84" i="1" s="1"/>
  <c r="E82" i="1" l="1"/>
  <c r="E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Siew Fong</author>
  </authors>
  <commentList>
    <comment ref="G63" authorId="0" shapeId="0" xr:uid="{AAA4A27C-4D86-4B03-B9B2-DD80B48C99A0}">
      <text>
        <r>
          <rPr>
            <b/>
            <sz val="9"/>
            <rFont val="Tahoma"/>
            <family val="2"/>
          </rPr>
          <t>Siew Fong:</t>
        </r>
        <r>
          <rPr>
            <sz val="9"/>
            <rFont val="Tahoma"/>
            <family val="2"/>
          </rPr>
          <t xml:space="preserve">
min RM100 or 1% from financing amt</t>
        </r>
      </text>
    </comment>
  </commentList>
</comments>
</file>

<file path=xl/sharedStrings.xml><?xml version="1.0" encoding="utf-8"?>
<sst xmlns="http://schemas.openxmlformats.org/spreadsheetml/2006/main" count="193" uniqueCount="166">
  <si>
    <t>Referral :</t>
  </si>
  <si>
    <t>XB</t>
  </si>
  <si>
    <t>VC1</t>
  </si>
  <si>
    <t>VC2</t>
  </si>
  <si>
    <t>VC3</t>
  </si>
  <si>
    <t>VC4</t>
  </si>
  <si>
    <t>APPLICANT INFORMATION</t>
  </si>
  <si>
    <t>Full Name :</t>
  </si>
  <si>
    <t>Ref No :</t>
  </si>
  <si>
    <t>I.C. Number :</t>
  </si>
  <si>
    <t>DOB (dd-mm-yyyy) :</t>
  </si>
  <si>
    <t>Mobile Number/ Email :</t>
  </si>
  <si>
    <t>Gender (M/F) :</t>
  </si>
  <si>
    <t>sa</t>
  </si>
  <si>
    <t>pr</t>
  </si>
  <si>
    <t>Company Name :</t>
  </si>
  <si>
    <t>Date Of Employment :</t>
  </si>
  <si>
    <t>Office Tel. No :</t>
  </si>
  <si>
    <t>Smoker Status (Y/N) :</t>
  </si>
  <si>
    <t>Bank Account :</t>
  </si>
  <si>
    <t>Race (BM / BNM / C / I / O) :</t>
  </si>
  <si>
    <t>Position :</t>
  </si>
  <si>
    <t>Job Code (C / P / B / T) :</t>
  </si>
  <si>
    <t>TTP:</t>
  </si>
  <si>
    <t xml:space="preserve">payslip:                  / maj: </t>
  </si>
  <si>
    <t>Age Next :</t>
  </si>
  <si>
    <t>CALCULATION SHEET</t>
  </si>
  <si>
    <t>Fixed Salary Amount :</t>
  </si>
  <si>
    <t>Payslip Month :</t>
  </si>
  <si>
    <t>add : Salary Adjustment :</t>
  </si>
  <si>
    <t>&lt;&lt;&lt; Total Gross Salary</t>
  </si>
  <si>
    <t>Maximum Deduction (%) :</t>
  </si>
  <si>
    <t>less : Total Deduction :</t>
  </si>
  <si>
    <t xml:space="preserve"> </t>
  </si>
  <si>
    <t>Qualify (without settlement)</t>
  </si>
  <si>
    <t>Code</t>
  </si>
  <si>
    <t>Adjustment / Settlement Details</t>
  </si>
  <si>
    <t>Deduction Amount</t>
  </si>
  <si>
    <t>Deduction End Date</t>
  </si>
  <si>
    <t>Est. / Actual PIF Amount (RM)</t>
  </si>
  <si>
    <t>Stamping Fee 0.5%</t>
  </si>
  <si>
    <t>1 month advance instalment</t>
  </si>
  <si>
    <t>Total Adjustment / Settlement</t>
  </si>
  <si>
    <t>Qualify (with/without settlement) &amp; (with/without adjustment)</t>
  </si>
  <si>
    <t>SYSTEM REPORT</t>
  </si>
  <si>
    <t>Financing Approved :</t>
  </si>
  <si>
    <t>Less : Charges</t>
  </si>
  <si>
    <t>Profit Rate % :</t>
  </si>
  <si>
    <t>Total Receivable :</t>
  </si>
  <si>
    <t>-</t>
  </si>
  <si>
    <t>Financing Tenure (months) :</t>
  </si>
  <si>
    <t>Less : Settlements :</t>
  </si>
  <si>
    <t>Less : Entrance Fees :</t>
  </si>
  <si>
    <t>Coop Code :</t>
  </si>
  <si>
    <t>WL626</t>
  </si>
  <si>
    <t>Less : Member Shares :</t>
  </si>
  <si>
    <t>Installment (4101) :</t>
  </si>
  <si>
    <t>BPA Fee 2% :</t>
  </si>
  <si>
    <t>Total Net Received :</t>
  </si>
  <si>
    <t>Sum Assured:</t>
  </si>
  <si>
    <t>Total Installment :</t>
  </si>
  <si>
    <t>New Net Salary :</t>
  </si>
  <si>
    <t>( Old Net Salary :</t>
  </si>
  <si>
    <t xml:space="preserve"> )</t>
  </si>
  <si>
    <t>BPA 1/79 Submission</t>
  </si>
  <si>
    <t>BPA Fee</t>
  </si>
  <si>
    <t>VERIFICATION AND APPROVAL</t>
  </si>
  <si>
    <t>Remarks :</t>
  </si>
  <si>
    <t>Checked by :</t>
  </si>
  <si>
    <t>Date :</t>
  </si>
  <si>
    <t>Date Calculated :</t>
  </si>
  <si>
    <t>Serial No :</t>
  </si>
  <si>
    <t>Processed by :</t>
  </si>
  <si>
    <t>Recommended by :</t>
  </si>
  <si>
    <t>Approved by :</t>
  </si>
  <si>
    <t>Sign by :</t>
  </si>
  <si>
    <t>PRIVATE &amp; CONFIDENTIAL.  STRICTLY FOR INTERNAL USE ONLY.  CONTAIN ESTIMATED FIGURE.</t>
  </si>
  <si>
    <t>*** Item lookup Table</t>
  </si>
  <si>
    <t>Control Variables :</t>
  </si>
  <si>
    <t>Settings</t>
  </si>
  <si>
    <t>Descriptions</t>
  </si>
  <si>
    <t>CODE</t>
  </si>
  <si>
    <t>ITEM</t>
  </si>
  <si>
    <t>Maximum Loan :</t>
  </si>
  <si>
    <t xml:space="preserve">     &lt;&lt;&lt;&lt;&lt; 1,000 - 200,000</t>
  </si>
  <si>
    <t>000</t>
  </si>
  <si>
    <t>- uNaSsIgNeD -</t>
  </si>
  <si>
    <t>Maximum Term Period :</t>
  </si>
  <si>
    <t xml:space="preserve">     &lt;&lt;&lt;&lt;&lt; Max No.Of Instalment</t>
  </si>
  <si>
    <t>001</t>
  </si>
  <si>
    <t>DEDUCTION STARTING</t>
  </si>
  <si>
    <t>BPA 1/79 Language :</t>
  </si>
  <si>
    <t>English</t>
  </si>
  <si>
    <t xml:space="preserve">     &lt;&lt;&lt;&lt;&lt; Malay / English</t>
  </si>
  <si>
    <t>002</t>
  </si>
  <si>
    <t>DEDUCTION STOPPING</t>
  </si>
  <si>
    <t>Maximum Age at Maturity:</t>
  </si>
  <si>
    <t>58.00</t>
  </si>
  <si>
    <t xml:space="preserve">     &lt;&lt;&lt;&lt;&lt; yy.mm</t>
  </si>
  <si>
    <t>003</t>
  </si>
  <si>
    <t>YURAN MASUK</t>
  </si>
  <si>
    <t>Buffer for Last Age :</t>
  </si>
  <si>
    <t xml:space="preserve">     &lt;&lt;&lt;&lt;&lt; No. Of Months to leave before max. maturity</t>
  </si>
  <si>
    <t>004</t>
  </si>
  <si>
    <t>SYER</t>
  </si>
  <si>
    <t>LC Age at Maturity:</t>
  </si>
  <si>
    <t xml:space="preserve">     &lt;&lt;&lt;&lt;&lt; (Max. Age) - (Buffer)</t>
  </si>
  <si>
    <t>005</t>
  </si>
  <si>
    <t xml:space="preserve">TAKAFUL </t>
  </si>
  <si>
    <t>Maximum Times Salary :</t>
  </si>
  <si>
    <t xml:space="preserve">     &lt;&lt;&lt;&lt;&lt; No. Of Times Salary (1-99)</t>
  </si>
  <si>
    <t>006</t>
  </si>
  <si>
    <t>INS. PERLINDUNGAN PEMBIAYAAN</t>
  </si>
  <si>
    <t>007</t>
  </si>
  <si>
    <t>AMASSURANCE</t>
  </si>
  <si>
    <t>008</t>
  </si>
  <si>
    <t>FACILITY FEES</t>
  </si>
  <si>
    <t>009</t>
  </si>
  <si>
    <t>GRACE PERIOD PROFIT</t>
  </si>
  <si>
    <t>010</t>
  </si>
  <si>
    <t>SEKURITI DEPOSIT</t>
  </si>
  <si>
    <t>011</t>
  </si>
  <si>
    <t>DEPOSIT</t>
  </si>
  <si>
    <t>012</t>
  </si>
  <si>
    <t>INTERNAL SETTLEMENT</t>
  </si>
  <si>
    <t>013</t>
  </si>
  <si>
    <t>014</t>
  </si>
  <si>
    <t>015</t>
  </si>
  <si>
    <t>016</t>
  </si>
  <si>
    <t>017</t>
  </si>
  <si>
    <t>018</t>
  </si>
  <si>
    <t>019</t>
  </si>
  <si>
    <r>
      <rPr>
        <sz val="7"/>
        <color theme="0" tint="-0.249977111117893"/>
        <rFont val="Arial"/>
        <family val="2"/>
      </rPr>
      <t xml:space="preserve">THIS GROUP OF CODES (9xx) REQUIRE A COMPANY OR INDIVIDUAL NAME       </t>
    </r>
    <r>
      <rPr>
        <u/>
        <sz val="7"/>
        <color theme="0" tint="-0.249977111117893"/>
        <rFont val="Arial"/>
        <family val="2"/>
      </rPr>
      <t>IN FULL</t>
    </r>
    <r>
      <rPr>
        <sz val="7"/>
        <color theme="0" tint="-0.249977111117893"/>
        <rFont val="Arial"/>
        <family val="2"/>
      </rPr>
      <t xml:space="preserve"> TO BE INCLUDED NEXT TO THE DESCRIPTION FOR CHEQUE WRITING FUNCTION TO PRINT THE CORRECT NAME.</t>
    </r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</si>
  <si>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</si>
  <si>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</si>
  <si>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</si>
  <si>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</si>
  <si>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</si>
  <si>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</si>
  <si>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</si>
  <si>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</si>
  <si>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</si>
  <si>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ADVANCE</t>
  </si>
  <si>
    <t>999</t>
  </si>
  <si>
    <t>EXTERNAL SETTLEMENT</t>
  </si>
  <si>
    <t>* Insurance Lookup Table with reference to age and job code of the borrower</t>
  </si>
  <si>
    <t>AGE</t>
  </si>
  <si>
    <t>CSA</t>
  </si>
  <si>
    <t>CPR</t>
  </si>
  <si>
    <t>PSA</t>
  </si>
  <si>
    <t>PPR</t>
  </si>
  <si>
    <t>BSA</t>
  </si>
  <si>
    <t>BPR</t>
  </si>
  <si>
    <t xml:space="preserve">** Job Code lookup Table       </t>
  </si>
  <si>
    <t>JOB CODE</t>
  </si>
  <si>
    <t>PR</t>
  </si>
  <si>
    <t>SA</t>
  </si>
  <si>
    <t>C</t>
  </si>
  <si>
    <t>B</t>
  </si>
  <si>
    <t>P</t>
  </si>
  <si>
    <t>PBR</t>
  </si>
  <si>
    <t>Processing Fee</t>
  </si>
  <si>
    <t>KOERA</t>
  </si>
  <si>
    <t>MOHD NIZAM AZMIR BIN ZAINI</t>
  </si>
  <si>
    <t>880407-02-5081</t>
  </si>
  <si>
    <t>Less : SST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</si>
</sst>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&quot;$&quot;#,##0.00_);\(&quot;$&quot;#,##0.00\)"/>
    <numFmt numFmtId="166" formatCode="dd/mmm/yyyy"/>
    <numFmt numFmtId="167" formatCode="[$$-409]#,##0.00_ ;\-[$$-409]#,##0.00\ "/>
    <numFmt numFmtId="168" formatCode="[$-409]mmmm\-yy;@"/>
    <numFmt numFmtId="169" formatCode="[$$-409]#,##0.00"/>
    <numFmt numFmtId="170" formatCode="yyyymm"/>
    <numFmt numFmtId="171" formatCode="&quot;RM&quot;#,##0.00"/>
    <numFmt numFmtId="172" formatCode="0.0000%"/>
    <numFmt numFmtId="173" formatCode="0.000"/>
    <numFmt numFmtId="174" formatCode="#,##0.00_ ;\-#,##0.00\ "/>
    <numFmt numFmtId="175" formatCode="&quot;$&quot;#,##0.00"/>
  </numFmts>
  <fonts count="4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9"/>
      <name val="Aptos Narrow"/>
      <family val="2"/>
      <scheme val="minor"/>
    </font>
    <font>
      <sz val="10"/>
      <color indexed="8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sz val="9"/>
      <name val="Arial"/>
      <family val="2"/>
    </font>
    <font>
      <i/>
      <sz val="9"/>
      <name val="Verdana"/>
      <family val="2"/>
    </font>
    <font>
      <b/>
      <sz val="9"/>
      <color theme="0" tint="-0.249977111117893"/>
      <name val="Arial"/>
      <family val="2"/>
    </font>
    <font>
      <u/>
      <sz val="10"/>
      <color theme="10"/>
      <name val="Arial"/>
      <family val="2"/>
    </font>
    <font>
      <sz val="8"/>
      <color theme="0" tint="-0.249977111117893"/>
      <name val="Arial"/>
      <family val="2"/>
    </font>
    <font>
      <sz val="10"/>
      <color indexed="12"/>
      <name val="Verdana"/>
      <family val="2"/>
    </font>
    <font>
      <b/>
      <sz val="8"/>
      <name val="Verdana"/>
      <family val="2"/>
    </font>
    <font>
      <sz val="9"/>
      <color indexed="12"/>
      <name val="Verdana"/>
      <family val="2"/>
    </font>
    <font>
      <u/>
      <sz val="9"/>
      <name val="Verdana"/>
      <family val="2"/>
    </font>
    <font>
      <sz val="9"/>
      <color indexed="9"/>
      <name val="Verdana"/>
      <family val="2"/>
    </font>
    <font>
      <i/>
      <sz val="8"/>
      <name val="Verdana"/>
      <family val="2"/>
    </font>
    <font>
      <b/>
      <sz val="9"/>
      <color indexed="10"/>
      <name val="Verdana"/>
      <family val="2"/>
    </font>
    <font>
      <sz val="8"/>
      <name val="Verdana"/>
      <family val="2"/>
    </font>
    <font>
      <sz val="9"/>
      <color rgb="FF0000FF"/>
      <name val="Verdana"/>
      <family val="2"/>
    </font>
    <font>
      <sz val="7"/>
      <name val="Verdana"/>
      <family val="2"/>
    </font>
    <font>
      <i/>
      <u/>
      <sz val="9"/>
      <name val="Verdana"/>
      <family val="2"/>
    </font>
    <font>
      <sz val="10"/>
      <color indexed="9"/>
      <name val="Verdana"/>
      <family val="2"/>
    </font>
    <font>
      <sz val="7"/>
      <color indexed="9"/>
      <name val="Verdana"/>
      <family val="2"/>
    </font>
    <font>
      <sz val="9"/>
      <color theme="0"/>
      <name val="Verdana"/>
      <family val="2"/>
    </font>
    <font>
      <sz val="11"/>
      <color rgb="FF444444"/>
      <name val="Consolas"/>
      <family val="3"/>
    </font>
    <font>
      <i/>
      <sz val="9"/>
      <color theme="0"/>
      <name val="Verdana"/>
      <family val="2"/>
    </font>
    <font>
      <b/>
      <i/>
      <sz val="9"/>
      <color indexed="52"/>
      <name val="Verdana"/>
      <family val="2"/>
    </font>
    <font>
      <i/>
      <sz val="10"/>
      <name val="Verdana"/>
      <family val="2"/>
    </font>
    <font>
      <sz val="9"/>
      <color theme="0" tint="-0.249977111117893"/>
      <name val="Verdana"/>
      <family val="2"/>
    </font>
    <font>
      <b/>
      <i/>
      <sz val="9"/>
      <name val="Verdana"/>
      <family val="2"/>
    </font>
    <font>
      <i/>
      <sz val="7"/>
      <name val="Verdana"/>
      <family val="2"/>
    </font>
    <font>
      <b/>
      <sz val="8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7"/>
      <color theme="0" tint="-0.249977111117893"/>
      <name val="Arial"/>
      <family val="2"/>
    </font>
    <font>
      <u/>
      <sz val="7"/>
      <color theme="0" tint="-0.249977111117893"/>
      <name val="Arial"/>
      <family val="2"/>
    </font>
    <font>
      <sz val="9"/>
      <color indexed="22"/>
      <name val="Arial"/>
      <family val="2"/>
    </font>
    <font>
      <sz val="10"/>
      <color indexed="22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color rgb="FF1B2A4E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</fills>
  <borders count="64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0000FF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 style="hair">
        <color auto="1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9"/>
      </right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70">
    <xf numFmtId="0" fontId="0" fillId="0" borderId="0" xfId="0"/>
    <xf numFmtId="0" fontId="2" fillId="2" borderId="0" xfId="1" applyFont="1" applyFill="1"/>
    <xf numFmtId="0" fontId="3" fillId="2" borderId="1" xfId="1" applyFont="1" applyFill="1" applyBorder="1" applyAlignment="1" applyProtection="1">
      <alignment horizontal="right"/>
      <protection locked="0"/>
    </xf>
    <xf numFmtId="0" fontId="4" fillId="0" borderId="2" xfId="1" applyFont="1" applyBorder="1" applyAlignment="1">
      <alignment vertical="center"/>
    </xf>
    <xf numFmtId="0" fontId="5" fillId="3" borderId="0" xfId="1" applyFont="1" applyFill="1"/>
    <xf numFmtId="0" fontId="6" fillId="3" borderId="0" xfId="1" applyFont="1" applyFill="1"/>
    <xf numFmtId="0" fontId="1" fillId="3" borderId="0" xfId="1" applyFill="1"/>
    <xf numFmtId="0" fontId="2" fillId="2" borderId="3" xfId="1" applyFont="1" applyFill="1" applyBorder="1"/>
    <xf numFmtId="0" fontId="8" fillId="2" borderId="3" xfId="1" applyFont="1" applyFill="1" applyBorder="1" applyAlignment="1">
      <alignment horizontal="left"/>
    </xf>
    <xf numFmtId="0" fontId="8" fillId="2" borderId="3" xfId="1" applyFont="1" applyFill="1" applyBorder="1"/>
    <xf numFmtId="0" fontId="9" fillId="2" borderId="3" xfId="1" applyFont="1" applyFill="1" applyBorder="1" applyProtection="1">
      <protection locked="0"/>
    </xf>
    <xf numFmtId="0" fontId="10" fillId="2" borderId="3" xfId="1" applyFont="1" applyFill="1" applyBorder="1" applyAlignment="1" applyProtection="1">
      <alignment horizontal="right"/>
      <protection locked="0"/>
    </xf>
    <xf numFmtId="0" fontId="11" fillId="3" borderId="0" xfId="1" applyFont="1" applyFill="1"/>
    <xf numFmtId="0" fontId="9" fillId="2" borderId="4" xfId="1" applyFont="1" applyFill="1" applyBorder="1"/>
    <xf numFmtId="0" fontId="9" fillId="2" borderId="0" xfId="1" applyFont="1" applyFill="1"/>
    <xf numFmtId="0" fontId="12" fillId="2" borderId="0" xfId="1" applyFont="1" applyFill="1" applyAlignment="1">
      <alignment horizontal="right"/>
    </xf>
    <xf numFmtId="0" fontId="12" fillId="2" borderId="0" xfId="1" applyFont="1" applyFill="1"/>
    <xf numFmtId="0" fontId="7" fillId="2" borderId="6" xfId="1" applyFont="1" applyFill="1" applyBorder="1" applyProtection="1">
      <protection locked="0"/>
    </xf>
    <xf numFmtId="0" fontId="7" fillId="2" borderId="7" xfId="1" applyFont="1" applyFill="1" applyBorder="1" applyProtection="1">
      <protection locked="0"/>
    </xf>
    <xf numFmtId="49" fontId="9" fillId="2" borderId="0" xfId="1" applyNumberFormat="1" applyFont="1" applyFill="1"/>
    <xf numFmtId="49" fontId="2" fillId="2" borderId="8" xfId="1" applyNumberFormat="1" applyFont="1" applyFill="1" applyBorder="1" applyProtection="1">
      <protection locked="0"/>
    </xf>
    <xf numFmtId="0" fontId="1" fillId="0" borderId="0" xfId="1"/>
    <xf numFmtId="0" fontId="8" fillId="2" borderId="0" xfId="1" applyFont="1" applyFill="1"/>
    <xf numFmtId="0" fontId="9" fillId="2" borderId="12" xfId="1" applyFont="1" applyFill="1" applyBorder="1" applyAlignment="1">
      <alignment horizontal="right"/>
    </xf>
    <xf numFmtId="166" fontId="2" fillId="2" borderId="13" xfId="1" applyNumberFormat="1" applyFont="1" applyFill="1" applyBorder="1" applyAlignment="1" applyProtection="1">
      <alignment horizontal="left"/>
      <protection locked="0"/>
    </xf>
    <xf numFmtId="1" fontId="13" fillId="3" borderId="0" xfId="1" applyNumberFormat="1" applyFont="1" applyFill="1"/>
    <xf numFmtId="14" fontId="5" fillId="3" borderId="0" xfId="1" applyNumberFormat="1" applyFont="1" applyFill="1"/>
    <xf numFmtId="0" fontId="2" fillId="2" borderId="14" xfId="1" applyFont="1" applyFill="1" applyBorder="1" applyProtection="1">
      <protection locked="0"/>
    </xf>
    <xf numFmtId="0" fontId="2" fillId="2" borderId="8" xfId="1" applyFont="1" applyFill="1" applyBorder="1" applyProtection="1">
      <protection locked="0"/>
    </xf>
    <xf numFmtId="0" fontId="13" fillId="3" borderId="0" xfId="1" applyFont="1" applyFill="1"/>
    <xf numFmtId="0" fontId="9" fillId="2" borderId="0" xfId="1" applyFont="1" applyFill="1" applyAlignment="1">
      <alignment horizontal="right"/>
    </xf>
    <xf numFmtId="166" fontId="2" fillId="2" borderId="8" xfId="1" applyNumberFormat="1" applyFont="1" applyFill="1" applyBorder="1" applyAlignment="1" applyProtection="1">
      <alignment horizontal="left"/>
      <protection locked="0"/>
    </xf>
    <xf numFmtId="167" fontId="15" fillId="3" borderId="0" xfId="1" applyNumberFormat="1" applyFont="1" applyFill="1"/>
    <xf numFmtId="0" fontId="9" fillId="2" borderId="0" xfId="1" applyFont="1" applyFill="1" applyAlignment="1">
      <alignment horizontal="left"/>
    </xf>
    <xf numFmtId="0" fontId="2" fillId="2" borderId="8" xfId="1" applyFont="1" applyFill="1" applyBorder="1" applyAlignment="1" applyProtection="1">
      <alignment horizontal="left"/>
      <protection locked="0"/>
    </xf>
    <xf numFmtId="0" fontId="16" fillId="2" borderId="0" xfId="1" applyFont="1" applyFill="1" applyAlignment="1">
      <alignment horizontal="left"/>
    </xf>
    <xf numFmtId="0" fontId="17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5" fillId="3" borderId="17" xfId="1" applyFont="1" applyFill="1" applyBorder="1"/>
    <xf numFmtId="0" fontId="9" fillId="2" borderId="3" xfId="1" applyFont="1" applyFill="1" applyBorder="1"/>
    <xf numFmtId="0" fontId="17" fillId="2" borderId="3" xfId="1" applyFont="1" applyFill="1" applyBorder="1" applyAlignment="1">
      <alignment horizontal="left"/>
    </xf>
    <xf numFmtId="0" fontId="9" fillId="2" borderId="3" xfId="1" applyFont="1" applyFill="1" applyBorder="1" applyAlignment="1">
      <alignment horizontal="right"/>
    </xf>
    <xf numFmtId="0" fontId="18" fillId="2" borderId="3" xfId="1" applyFont="1" applyFill="1" applyBorder="1" applyAlignment="1">
      <alignment horizontal="left"/>
    </xf>
    <xf numFmtId="167" fontId="2" fillId="2" borderId="9" xfId="1" applyNumberFormat="1" applyFont="1" applyFill="1" applyBorder="1" applyProtection="1">
      <protection locked="0"/>
    </xf>
    <xf numFmtId="0" fontId="9" fillId="2" borderId="12" xfId="1" applyFont="1" applyFill="1" applyBorder="1"/>
    <xf numFmtId="0" fontId="12" fillId="2" borderId="18" xfId="1" applyFont="1" applyFill="1" applyBorder="1" applyAlignment="1">
      <alignment horizontal="right"/>
    </xf>
    <xf numFmtId="168" fontId="2" fillId="2" borderId="13" xfId="1" applyNumberFormat="1" applyFont="1" applyFill="1" applyBorder="1" applyAlignment="1" applyProtection="1">
      <alignment horizontal="center"/>
      <protection locked="0"/>
    </xf>
    <xf numFmtId="167" fontId="9" fillId="2" borderId="0" xfId="1" applyNumberFormat="1" applyFont="1" applyFill="1"/>
    <xf numFmtId="167" fontId="2" fillId="2" borderId="8" xfId="1" applyNumberFormat="1" applyFont="1" applyFill="1" applyBorder="1" applyProtection="1">
      <protection locked="0"/>
    </xf>
    <xf numFmtId="169" fontId="2" fillId="2" borderId="0" xfId="1" applyNumberFormat="1" applyFont="1" applyFill="1"/>
    <xf numFmtId="167" fontId="2" fillId="2" borderId="0" xfId="1" applyNumberFormat="1" applyFont="1" applyFill="1"/>
    <xf numFmtId="9" fontId="7" fillId="2" borderId="8" xfId="1" applyNumberFormat="1" applyFont="1" applyFill="1" applyBorder="1" applyAlignment="1" applyProtection="1">
      <alignment horizontal="left"/>
      <protection locked="0"/>
    </xf>
    <xf numFmtId="9" fontId="9" fillId="2" borderId="0" xfId="1" applyNumberFormat="1" applyFont="1" applyFill="1" applyAlignment="1">
      <alignment horizontal="left"/>
    </xf>
    <xf numFmtId="0" fontId="19" fillId="2" borderId="0" xfId="1" applyFont="1" applyFill="1" applyAlignment="1">
      <alignment horizontal="center"/>
    </xf>
    <xf numFmtId="0" fontId="20" fillId="2" borderId="0" xfId="1" applyFont="1" applyFill="1"/>
    <xf numFmtId="167" fontId="2" fillId="2" borderId="4" xfId="1" applyNumberFormat="1" applyFont="1" applyFill="1" applyBorder="1"/>
    <xf numFmtId="167" fontId="20" fillId="2" borderId="0" xfId="1" applyNumberFormat="1" applyFont="1" applyFill="1"/>
    <xf numFmtId="0" fontId="21" fillId="2" borderId="19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2" fontId="12" fillId="2" borderId="22" xfId="1" applyNumberFormat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1" fontId="22" fillId="2" borderId="0" xfId="1" applyNumberFormat="1" applyFont="1" applyFill="1" applyAlignment="1" applyProtection="1">
      <alignment vertical="top"/>
      <protection locked="0"/>
    </xf>
    <xf numFmtId="49" fontId="23" fillId="2" borderId="24" xfId="1" applyNumberFormat="1" applyFont="1" applyFill="1" applyBorder="1" applyAlignment="1" applyProtection="1">
      <alignment horizontal="center" vertical="center"/>
      <protection locked="0"/>
    </xf>
    <xf numFmtId="0" fontId="23" fillId="2" borderId="25" xfId="1" applyFont="1" applyFill="1" applyBorder="1" applyAlignment="1">
      <alignment vertical="center" wrapText="1"/>
    </xf>
    <xf numFmtId="167" fontId="9" fillId="2" borderId="14" xfId="1" applyNumberFormat="1" applyFont="1" applyFill="1" applyBorder="1" applyAlignment="1" applyProtection="1">
      <alignment vertical="center"/>
      <protection locked="0"/>
    </xf>
    <xf numFmtId="170" fontId="9" fillId="2" borderId="26" xfId="1" applyNumberFormat="1" applyFont="1" applyFill="1" applyBorder="1" applyAlignment="1" applyProtection="1">
      <alignment horizontal="center" vertical="center"/>
      <protection locked="0"/>
    </xf>
    <xf numFmtId="4" fontId="9" fillId="2" borderId="27" xfId="1" applyNumberFormat="1" applyFont="1" applyFill="1" applyBorder="1" applyAlignment="1" applyProtection="1">
      <alignment vertical="center"/>
      <protection locked="0"/>
    </xf>
    <xf numFmtId="0" fontId="22" fillId="2" borderId="0" xfId="1" applyFont="1" applyFill="1" applyAlignment="1">
      <alignment vertical="top"/>
    </xf>
    <xf numFmtId="0" fontId="23" fillId="2" borderId="28" xfId="1" applyFont="1" applyFill="1" applyBorder="1" applyAlignment="1">
      <alignment vertical="center" wrapText="1"/>
    </xf>
    <xf numFmtId="167" fontId="9" fillId="2" borderId="29" xfId="1" applyNumberFormat="1" applyFont="1" applyFill="1" applyBorder="1" applyAlignment="1" applyProtection="1">
      <alignment vertical="center"/>
      <protection locked="0"/>
    </xf>
    <xf numFmtId="4" fontId="9" fillId="5" borderId="30" xfId="1" applyNumberFormat="1" applyFont="1" applyFill="1" applyBorder="1" applyAlignment="1" applyProtection="1">
      <alignment horizontal="right" vertical="center"/>
      <protection locked="0"/>
    </xf>
    <xf numFmtId="4" fontId="24" fillId="2" borderId="32" xfId="1" applyNumberFormat="1" applyFont="1" applyFill="1" applyBorder="1" applyAlignment="1" applyProtection="1">
      <alignment vertical="center"/>
      <protection locked="0"/>
    </xf>
    <xf numFmtId="167" fontId="24" fillId="2" borderId="9" xfId="1" applyNumberFormat="1" applyFont="1" applyFill="1" applyBorder="1" applyAlignment="1" applyProtection="1">
      <alignment vertical="center"/>
      <protection locked="0"/>
    </xf>
    <xf numFmtId="167" fontId="9" fillId="2" borderId="33" xfId="1" applyNumberFormat="1" applyFont="1" applyFill="1" applyBorder="1" applyAlignment="1" applyProtection="1">
      <alignment vertical="center"/>
      <protection locked="0"/>
    </xf>
    <xf numFmtId="4" fontId="9" fillId="2" borderId="34" xfId="1" applyNumberFormat="1" applyFont="1" applyFill="1" applyBorder="1" applyAlignment="1" applyProtection="1">
      <alignment vertical="center"/>
      <protection locked="0"/>
    </xf>
    <xf numFmtId="0" fontId="23" fillId="2" borderId="8" xfId="1" applyFont="1" applyFill="1" applyBorder="1" applyAlignment="1" applyProtection="1">
      <alignment vertical="center" wrapText="1"/>
      <protection locked="0"/>
    </xf>
    <xf numFmtId="49" fontId="23" fillId="2" borderId="36" xfId="1" applyNumberFormat="1" applyFont="1" applyFill="1" applyBorder="1" applyAlignment="1" applyProtection="1">
      <alignment horizontal="center" vertical="center"/>
      <protection locked="0"/>
    </xf>
    <xf numFmtId="0" fontId="23" fillId="2" borderId="37" xfId="1" applyFont="1" applyFill="1" applyBorder="1" applyAlignment="1" applyProtection="1">
      <alignment vertical="center" wrapText="1"/>
      <protection locked="0"/>
    </xf>
    <xf numFmtId="167" fontId="9" fillId="2" borderId="38" xfId="1" applyNumberFormat="1" applyFont="1" applyFill="1" applyBorder="1" applyAlignment="1" applyProtection="1">
      <alignment vertical="center"/>
      <protection locked="0"/>
    </xf>
    <xf numFmtId="170" fontId="9" fillId="2" borderId="39" xfId="1" applyNumberFormat="1" applyFont="1" applyFill="1" applyBorder="1" applyAlignment="1" applyProtection="1">
      <alignment horizontal="center" vertical="center"/>
      <protection locked="0"/>
    </xf>
    <xf numFmtId="4" fontId="9" fillId="2" borderId="40" xfId="1" applyNumberFormat="1" applyFont="1" applyFill="1" applyBorder="1" applyAlignment="1" applyProtection="1">
      <alignment vertical="center"/>
      <protection locked="0"/>
    </xf>
    <xf numFmtId="167" fontId="2" fillId="2" borderId="43" xfId="1" applyNumberFormat="1" applyFont="1" applyFill="1" applyBorder="1"/>
    <xf numFmtId="171" fontId="2" fillId="2" borderId="44" xfId="1" applyNumberFormat="1" applyFont="1" applyFill="1" applyBorder="1"/>
    <xf numFmtId="171" fontId="9" fillId="2" borderId="0" xfId="1" applyNumberFormat="1" applyFont="1" applyFill="1"/>
    <xf numFmtId="167" fontId="2" fillId="2" borderId="45" xfId="1" applyNumberFormat="1" applyFont="1" applyFill="1" applyBorder="1"/>
    <xf numFmtId="9" fontId="22" fillId="2" borderId="0" xfId="1" applyNumberFormat="1" applyFont="1" applyFill="1" applyAlignment="1">
      <alignment horizontal="left"/>
    </xf>
    <xf numFmtId="0" fontId="25" fillId="2" borderId="0" xfId="1" applyFont="1" applyFill="1" applyAlignment="1">
      <alignment horizontal="right"/>
    </xf>
    <xf numFmtId="0" fontId="2" fillId="0" borderId="3" xfId="1" applyFont="1" applyBorder="1"/>
    <xf numFmtId="167" fontId="9" fillId="2" borderId="3" xfId="1" applyNumberFormat="1" applyFont="1" applyFill="1" applyBorder="1"/>
    <xf numFmtId="171" fontId="9" fillId="2" borderId="3" xfId="1" applyNumberFormat="1" applyFont="1" applyFill="1" applyBorder="1"/>
    <xf numFmtId="171" fontId="7" fillId="2" borderId="46" xfId="1" applyNumberFormat="1" applyFont="1" applyFill="1" applyBorder="1" applyAlignment="1" applyProtection="1">
      <alignment horizontal="center"/>
      <protection locked="0"/>
    </xf>
    <xf numFmtId="0" fontId="21" fillId="2" borderId="12" xfId="1" applyFont="1" applyFill="1" applyBorder="1" applyAlignment="1">
      <alignment vertical="center"/>
    </xf>
    <xf numFmtId="0" fontId="26" fillId="2" borderId="0" xfId="1" applyFont="1" applyFill="1" applyAlignment="1">
      <alignment horizontal="right"/>
    </xf>
    <xf numFmtId="171" fontId="27" fillId="2" borderId="0" xfId="1" applyNumberFormat="1" applyFont="1" applyFill="1" applyProtection="1">
      <protection locked="0"/>
    </xf>
    <xf numFmtId="165" fontId="5" fillId="3" borderId="0" xfId="1" applyNumberFormat="1" applyFont="1" applyFill="1"/>
    <xf numFmtId="167" fontId="9" fillId="2" borderId="47" xfId="1" applyNumberFormat="1" applyFont="1" applyFill="1" applyBorder="1"/>
    <xf numFmtId="2" fontId="2" fillId="2" borderId="8" xfId="1" applyNumberFormat="1" applyFont="1" applyFill="1" applyBorder="1" applyAlignment="1" applyProtection="1">
      <alignment horizontal="center"/>
      <protection locked="0"/>
    </xf>
    <xf numFmtId="172" fontId="28" fillId="2" borderId="0" xfId="1" applyNumberFormat="1" applyFont="1" applyFill="1" applyAlignment="1">
      <alignment horizontal="left" indent="1"/>
    </xf>
    <xf numFmtId="171" fontId="2" fillId="2" borderId="0" xfId="1" applyNumberFormat="1" applyFont="1" applyFill="1"/>
    <xf numFmtId="0" fontId="9" fillId="2" borderId="0" xfId="1" quotePrefix="1" applyFont="1" applyFill="1"/>
    <xf numFmtId="0" fontId="9" fillId="2" borderId="0" xfId="1" applyFont="1" applyFill="1" applyAlignment="1">
      <alignment horizontal="center"/>
    </xf>
    <xf numFmtId="1" fontId="7" fillId="2" borderId="13" xfId="1" applyNumberFormat="1" applyFont="1" applyFill="1" applyBorder="1" applyAlignment="1" applyProtection="1">
      <alignment horizontal="center"/>
      <protection locked="0"/>
    </xf>
    <xf numFmtId="0" fontId="9" fillId="2" borderId="48" xfId="1" applyFont="1" applyFill="1" applyBorder="1"/>
    <xf numFmtId="171" fontId="9" fillId="2" borderId="0" xfId="1" applyNumberFormat="1" applyFont="1" applyFill="1" applyAlignment="1">
      <alignment horizontal="left"/>
    </xf>
    <xf numFmtId="171" fontId="2" fillId="2" borderId="8" xfId="1" applyNumberFormat="1" applyFont="1" applyFill="1" applyBorder="1" applyProtection="1">
      <protection locked="0"/>
    </xf>
    <xf numFmtId="1" fontId="5" fillId="3" borderId="0" xfId="1" applyNumberFormat="1" applyFont="1" applyFill="1" applyAlignment="1">
      <alignment horizontal="left"/>
    </xf>
    <xf numFmtId="0" fontId="9" fillId="2" borderId="49" xfId="1" applyFont="1" applyFill="1" applyBorder="1"/>
    <xf numFmtId="0" fontId="12" fillId="2" borderId="0" xfId="1" applyFont="1" applyFill="1" applyAlignment="1" applyProtection="1">
      <alignment horizontal="right"/>
      <protection locked="0"/>
    </xf>
    <xf numFmtId="0" fontId="9" fillId="2" borderId="8" xfId="1" applyFont="1" applyFill="1" applyBorder="1" applyAlignment="1" applyProtection="1">
      <alignment horizontal="center"/>
      <protection locked="0"/>
    </xf>
    <xf numFmtId="171" fontId="2" fillId="2" borderId="0" xfId="1" applyNumberFormat="1" applyFont="1" applyFill="1" applyAlignment="1">
      <alignment horizontal="right"/>
    </xf>
    <xf numFmtId="0" fontId="29" fillId="0" borderId="0" xfId="1" applyFont="1"/>
    <xf numFmtId="0" fontId="30" fillId="0" borderId="0" xfId="1" applyFont="1"/>
    <xf numFmtId="0" fontId="12" fillId="2" borderId="0" xfId="1" quotePrefix="1" applyFont="1" applyFill="1" applyAlignment="1">
      <alignment horizontal="right"/>
    </xf>
    <xf numFmtId="0" fontId="2" fillId="0" borderId="8" xfId="1" applyFont="1" applyBorder="1" applyAlignment="1">
      <alignment horizontal="right"/>
    </xf>
    <xf numFmtId="171" fontId="7" fillId="2" borderId="50" xfId="1" applyNumberFormat="1" applyFont="1" applyFill="1" applyBorder="1"/>
    <xf numFmtId="0" fontId="25" fillId="2" borderId="0" xfId="1" applyFont="1" applyFill="1" applyAlignment="1">
      <alignment horizontal="center"/>
    </xf>
    <xf numFmtId="0" fontId="12" fillId="2" borderId="0" xfId="1" applyFont="1" applyFill="1" applyAlignment="1">
      <alignment horizontal="right" vertical="center"/>
    </xf>
    <xf numFmtId="171" fontId="2" fillId="0" borderId="8" xfId="1" applyNumberFormat="1" applyFont="1" applyBorder="1" applyAlignment="1" applyProtection="1">
      <alignment horizontal="right"/>
      <protection locked="0"/>
    </xf>
    <xf numFmtId="171" fontId="29" fillId="0" borderId="0" xfId="1" applyNumberFormat="1" applyFont="1"/>
    <xf numFmtId="171" fontId="2" fillId="2" borderId="8" xfId="1" applyNumberFormat="1" applyFont="1" applyFill="1" applyBorder="1" applyAlignment="1" applyProtection="1">
      <alignment horizontal="right"/>
      <protection locked="0"/>
    </xf>
    <xf numFmtId="173" fontId="31" fillId="0" borderId="0" xfId="1" applyNumberFormat="1" applyFont="1"/>
    <xf numFmtId="0" fontId="22" fillId="2" borderId="0" xfId="1" applyFont="1" applyFill="1"/>
    <xf numFmtId="0" fontId="20" fillId="2" borderId="0" xfId="1" applyFont="1" applyFill="1" applyAlignment="1">
      <alignment horizontal="center"/>
    </xf>
    <xf numFmtId="22" fontId="12" fillId="2" borderId="0" xfId="1" applyNumberFormat="1" applyFont="1" applyFill="1" applyAlignment="1" applyProtection="1">
      <alignment horizontal="right"/>
      <protection locked="0"/>
    </xf>
    <xf numFmtId="2" fontId="9" fillId="2" borderId="0" xfId="1" applyNumberFormat="1" applyFont="1" applyFill="1"/>
    <xf numFmtId="167" fontId="2" fillId="2" borderId="8" xfId="1" applyNumberFormat="1" applyFont="1" applyFill="1" applyBorder="1" applyAlignment="1" applyProtection="1">
      <alignment horizontal="left"/>
      <protection locked="0"/>
    </xf>
    <xf numFmtId="0" fontId="8" fillId="2" borderId="0" xfId="1" applyFont="1" applyFill="1" applyAlignment="1">
      <alignment horizontal="right"/>
    </xf>
    <xf numFmtId="171" fontId="7" fillId="2" borderId="50" xfId="1" applyNumberFormat="1" applyFont="1" applyFill="1" applyBorder="1" applyAlignment="1">
      <alignment horizontal="right"/>
    </xf>
    <xf numFmtId="0" fontId="32" fillId="2" borderId="0" xfId="1" applyFont="1" applyFill="1"/>
    <xf numFmtId="171" fontId="7" fillId="2" borderId="51" xfId="1" applyNumberFormat="1" applyFont="1" applyFill="1" applyBorder="1" applyAlignment="1">
      <alignment horizontal="right"/>
    </xf>
    <xf numFmtId="0" fontId="9" fillId="0" borderId="0" xfId="1" applyFont="1"/>
    <xf numFmtId="167" fontId="7" fillId="2" borderId="0" xfId="1" applyNumberFormat="1" applyFont="1" applyFill="1" applyAlignment="1">
      <alignment horizontal="left"/>
    </xf>
    <xf numFmtId="0" fontId="2" fillId="0" borderId="0" xfId="1" applyFont="1"/>
    <xf numFmtId="0" fontId="5" fillId="3" borderId="0" xfId="1" applyFont="1" applyFill="1" applyAlignment="1">
      <alignment horizontal="center"/>
    </xf>
    <xf numFmtId="0" fontId="12" fillId="2" borderId="4" xfId="1" applyFont="1" applyFill="1" applyBorder="1" applyAlignment="1">
      <alignment horizontal="center"/>
    </xf>
    <xf numFmtId="167" fontId="12" fillId="2" borderId="0" xfId="1" applyNumberFormat="1" applyFont="1" applyFill="1"/>
    <xf numFmtId="0" fontId="12" fillId="2" borderId="0" xfId="1" applyFont="1" applyFill="1" applyAlignment="1">
      <alignment horizontal="left"/>
    </xf>
    <xf numFmtId="169" fontId="9" fillId="2" borderId="0" xfId="1" applyNumberFormat="1" applyFont="1" applyFill="1"/>
    <xf numFmtId="0" fontId="5" fillId="3" borderId="0" xfId="1" applyFont="1" applyFill="1" applyAlignment="1">
      <alignment horizontal="right"/>
    </xf>
    <xf numFmtId="0" fontId="2" fillId="2" borderId="0" xfId="1" applyFont="1" applyFill="1" applyAlignment="1">
      <alignment horizontal="right" indent="1"/>
    </xf>
    <xf numFmtId="0" fontId="2" fillId="2" borderId="0" xfId="1" applyFont="1" applyFill="1" applyAlignment="1">
      <alignment horizontal="center"/>
    </xf>
    <xf numFmtId="1" fontId="2" fillId="2" borderId="0" xfId="1" applyNumberFormat="1" applyFont="1" applyFill="1" applyAlignment="1">
      <alignment horizontal="center"/>
    </xf>
    <xf numFmtId="174" fontId="2" fillId="2" borderId="0" xfId="1" applyNumberFormat="1" applyFont="1" applyFill="1"/>
    <xf numFmtId="175" fontId="5" fillId="3" borderId="0" xfId="1" applyNumberFormat="1" applyFont="1" applyFill="1" applyAlignment="1">
      <alignment horizontal="right"/>
    </xf>
    <xf numFmtId="2" fontId="34" fillId="3" borderId="0" xfId="1" applyNumberFormat="1" applyFont="1" applyFill="1"/>
    <xf numFmtId="1" fontId="2" fillId="0" borderId="0" xfId="1" applyNumberFormat="1" applyFont="1" applyAlignment="1">
      <alignment horizontal="center"/>
    </xf>
    <xf numFmtId="0" fontId="7" fillId="2" borderId="0" xfId="1" applyFont="1" applyFill="1"/>
    <xf numFmtId="0" fontId="34" fillId="3" borderId="0" xfId="1" applyFont="1" applyFill="1"/>
    <xf numFmtId="1" fontId="5" fillId="3" borderId="0" xfId="1" applyNumberFormat="1" applyFont="1" applyFill="1"/>
    <xf numFmtId="174" fontId="2" fillId="0" borderId="0" xfId="1" applyNumberFormat="1" applyFont="1"/>
    <xf numFmtId="0" fontId="2" fillId="0" borderId="0" xfId="1" applyFont="1" applyAlignment="1">
      <alignment horizontal="right" indent="1"/>
    </xf>
    <xf numFmtId="174" fontId="2" fillId="2" borderId="3" xfId="1" applyNumberFormat="1" applyFont="1" applyFill="1" applyBorder="1"/>
    <xf numFmtId="0" fontId="5" fillId="3" borderId="0" xfId="1" applyFont="1" applyFill="1" applyAlignment="1">
      <alignment horizontal="left"/>
    </xf>
    <xf numFmtId="2" fontId="5" fillId="3" borderId="0" xfId="1" applyNumberFormat="1" applyFont="1" applyFill="1" applyAlignment="1">
      <alignment horizontal="left"/>
    </xf>
    <xf numFmtId="0" fontId="35" fillId="2" borderId="0" xfId="1" applyFont="1" applyFill="1" applyAlignment="1">
      <alignment horizontal="right"/>
    </xf>
    <xf numFmtId="174" fontId="7" fillId="2" borderId="3" xfId="1" applyNumberFormat="1" applyFont="1" applyFill="1" applyBorder="1"/>
    <xf numFmtId="2" fontId="34" fillId="3" borderId="0" xfId="1" applyNumberFormat="1" applyFont="1" applyFill="1" applyAlignment="1">
      <alignment horizontal="left"/>
    </xf>
    <xf numFmtId="14" fontId="2" fillId="2" borderId="49" xfId="1" applyNumberFormat="1" applyFont="1" applyFill="1" applyBorder="1" applyProtection="1">
      <protection locked="0"/>
    </xf>
    <xf numFmtId="0" fontId="2" fillId="2" borderId="49" xfId="1" applyFont="1" applyFill="1" applyBorder="1" applyProtection="1">
      <protection locked="0"/>
    </xf>
    <xf numFmtId="166" fontId="9" fillId="2" borderId="49" xfId="1" applyNumberFormat="1" applyFont="1" applyFill="1" applyBorder="1" applyAlignment="1" applyProtection="1">
      <alignment horizontal="right"/>
      <protection locked="0"/>
    </xf>
    <xf numFmtId="49" fontId="9" fillId="2" borderId="0" xfId="1" applyNumberFormat="1" applyFont="1" applyFill="1" applyProtection="1">
      <protection locked="0"/>
    </xf>
    <xf numFmtId="0" fontId="23" fillId="2" borderId="0" xfId="1" applyFont="1" applyFill="1"/>
    <xf numFmtId="0" fontId="9" fillId="2" borderId="49" xfId="1" applyFont="1" applyFill="1" applyBorder="1" applyProtection="1">
      <protection locked="0"/>
    </xf>
    <xf numFmtId="166" fontId="9" fillId="2" borderId="0" xfId="1" applyNumberFormat="1" applyFont="1" applyFill="1" applyAlignment="1" applyProtection="1">
      <alignment horizontal="right"/>
      <protection locked="0"/>
    </xf>
    <xf numFmtId="0" fontId="9" fillId="2" borderId="17" xfId="1" applyFont="1" applyFill="1" applyBorder="1"/>
    <xf numFmtId="0" fontId="2" fillId="0" borderId="17" xfId="1" applyFont="1" applyBorder="1"/>
    <xf numFmtId="0" fontId="17" fillId="2" borderId="0" xfId="1" applyFont="1" applyFill="1"/>
    <xf numFmtId="0" fontId="9" fillId="2" borderId="0" xfId="1" applyFont="1" applyFill="1" applyProtection="1">
      <protection locked="0"/>
    </xf>
    <xf numFmtId="166" fontId="23" fillId="2" borderId="8" xfId="1" applyNumberFormat="1" applyFont="1" applyFill="1" applyBorder="1" applyAlignment="1" applyProtection="1">
      <alignment horizontal="center"/>
      <protection locked="0"/>
    </xf>
    <xf numFmtId="166" fontId="9" fillId="2" borderId="0" xfId="1" applyNumberFormat="1" applyFont="1" applyFill="1" applyProtection="1">
      <protection locked="0"/>
    </xf>
    <xf numFmtId="167" fontId="5" fillId="3" borderId="0" xfId="1" applyNumberFormat="1" applyFont="1" applyFill="1"/>
    <xf numFmtId="0" fontId="9" fillId="2" borderId="16" xfId="1" applyFont="1" applyFill="1" applyBorder="1"/>
    <xf numFmtId="0" fontId="23" fillId="2" borderId="8" xfId="1" applyFont="1" applyFill="1" applyBorder="1" applyProtection="1">
      <protection locked="0"/>
    </xf>
    <xf numFmtId="0" fontId="15" fillId="3" borderId="0" xfId="1" applyFont="1" applyFill="1"/>
    <xf numFmtId="0" fontId="23" fillId="2" borderId="0" xfId="1" applyFont="1" applyFill="1" applyAlignment="1">
      <alignment horizontal="right"/>
    </xf>
    <xf numFmtId="166" fontId="9" fillId="2" borderId="49" xfId="1" applyNumberFormat="1" applyFont="1" applyFill="1" applyBorder="1" applyProtection="1">
      <protection locked="0"/>
    </xf>
    <xf numFmtId="0" fontId="6" fillId="3" borderId="0" xfId="1" applyFont="1" applyFill="1" applyAlignment="1">
      <alignment horizontal="right"/>
    </xf>
    <xf numFmtId="0" fontId="37" fillId="3" borderId="0" xfId="1" applyFont="1" applyFill="1" applyAlignment="1">
      <alignment horizontal="center"/>
    </xf>
    <xf numFmtId="4" fontId="37" fillId="3" borderId="52" xfId="1" applyNumberFormat="1" applyFont="1" applyFill="1" applyBorder="1" applyAlignment="1">
      <alignment horizontal="center"/>
    </xf>
    <xf numFmtId="0" fontId="38" fillId="3" borderId="0" xfId="1" applyFont="1" applyFill="1" applyAlignment="1">
      <alignment horizontal="center"/>
    </xf>
    <xf numFmtId="0" fontId="15" fillId="3" borderId="0" xfId="1" applyFont="1" applyFill="1" applyAlignment="1">
      <alignment horizontal="right"/>
    </xf>
    <xf numFmtId="4" fontId="15" fillId="3" borderId="53" xfId="1" applyNumberFormat="1" applyFont="1" applyFill="1" applyBorder="1" applyAlignment="1">
      <alignment horizontal="right" indent="1"/>
    </xf>
    <xf numFmtId="0" fontId="15" fillId="3" borderId="0" xfId="1" quotePrefix="1" applyFont="1" applyFill="1"/>
    <xf numFmtId="49" fontId="39" fillId="3" borderId="0" xfId="1" applyNumberFormat="1" applyFont="1" applyFill="1" applyAlignment="1">
      <alignment horizontal="center"/>
    </xf>
    <xf numFmtId="49" fontId="39" fillId="3" borderId="0" xfId="1" applyNumberFormat="1" applyFont="1" applyFill="1" applyAlignment="1">
      <alignment horizontal="left"/>
    </xf>
    <xf numFmtId="0" fontId="15" fillId="3" borderId="54" xfId="1" applyFont="1" applyFill="1" applyBorder="1" applyAlignment="1">
      <alignment horizontal="right"/>
    </xf>
    <xf numFmtId="1" fontId="15" fillId="3" borderId="53" xfId="1" applyNumberFormat="1" applyFont="1" applyFill="1" applyBorder="1" applyAlignment="1">
      <alignment horizontal="right" indent="1"/>
    </xf>
    <xf numFmtId="4" fontId="15" fillId="3" borderId="53" xfId="1" applyNumberFormat="1" applyFont="1" applyFill="1" applyBorder="1" applyAlignment="1" applyProtection="1">
      <alignment horizontal="right" indent="1"/>
      <protection locked="0"/>
    </xf>
    <xf numFmtId="49" fontId="15" fillId="3" borderId="53" xfId="1" applyNumberFormat="1" applyFont="1" applyFill="1" applyBorder="1" applyAlignment="1">
      <alignment horizontal="right" indent="1"/>
    </xf>
    <xf numFmtId="3" fontId="15" fillId="3" borderId="53" xfId="1" applyNumberFormat="1" applyFont="1" applyFill="1" applyBorder="1" applyAlignment="1">
      <alignment horizontal="right" indent="1"/>
    </xf>
    <xf numFmtId="4" fontId="15" fillId="3" borderId="55" xfId="1" applyNumberFormat="1" applyFont="1" applyFill="1" applyBorder="1" applyAlignment="1">
      <alignment horizontal="right" indent="1"/>
    </xf>
    <xf numFmtId="49" fontId="39" fillId="3" borderId="56" xfId="1" applyNumberFormat="1" applyFont="1" applyFill="1" applyBorder="1" applyAlignment="1">
      <alignment horizontal="center"/>
    </xf>
    <xf numFmtId="49" fontId="39" fillId="3" borderId="57" xfId="1" applyNumberFormat="1" applyFont="1" applyFill="1" applyBorder="1" applyAlignment="1">
      <alignment horizontal="left"/>
    </xf>
    <xf numFmtId="49" fontId="39" fillId="3" borderId="58" xfId="1" applyNumberFormat="1" applyFont="1" applyFill="1" applyBorder="1" applyAlignment="1">
      <alignment horizontal="left"/>
    </xf>
    <xf numFmtId="49" fontId="39" fillId="3" borderId="59" xfId="1" applyNumberFormat="1" applyFont="1" applyFill="1" applyBorder="1" applyAlignment="1">
      <alignment horizontal="center"/>
    </xf>
    <xf numFmtId="49" fontId="39" fillId="3" borderId="60" xfId="1" applyNumberFormat="1" applyFont="1" applyFill="1" applyBorder="1" applyAlignment="1">
      <alignment horizontal="left"/>
    </xf>
    <xf numFmtId="49" fontId="39" fillId="3" borderId="61" xfId="1" applyNumberFormat="1" applyFont="1" applyFill="1" applyBorder="1" applyAlignment="1">
      <alignment horizontal="center"/>
    </xf>
    <xf numFmtId="49" fontId="39" fillId="3" borderId="62" xfId="1" applyNumberFormat="1" applyFont="1" applyFill="1" applyBorder="1" applyAlignment="1">
      <alignment horizontal="left"/>
    </xf>
    <xf numFmtId="49" fontId="39" fillId="3" borderId="63" xfId="1" applyNumberFormat="1" applyFont="1" applyFill="1" applyBorder="1" applyAlignment="1">
      <alignment horizontal="left"/>
    </xf>
    <xf numFmtId="0" fontId="41" fillId="3" borderId="0" xfId="1" applyFont="1" applyFill="1"/>
    <xf numFmtId="0" fontId="38" fillId="3" borderId="0" xfId="3" applyNumberFormat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3" fontId="6" fillId="3" borderId="0" xfId="3" applyNumberFormat="1" applyFont="1" applyFill="1" applyBorder="1" applyAlignment="1">
      <alignment horizontal="center"/>
    </xf>
    <xf numFmtId="4" fontId="6" fillId="3" borderId="0" xfId="1" applyNumberFormat="1" applyFont="1" applyFill="1" applyAlignment="1">
      <alignment horizontal="center"/>
    </xf>
    <xf numFmtId="164" fontId="6" fillId="3" borderId="0" xfId="3" applyFont="1" applyFill="1" applyBorder="1" applyAlignment="1">
      <alignment horizontal="center"/>
    </xf>
    <xf numFmtId="3" fontId="6" fillId="3" borderId="0" xfId="1" applyNumberFormat="1" applyFont="1" applyFill="1" applyAlignment="1">
      <alignment horizontal="center"/>
    </xf>
    <xf numFmtId="2" fontId="6" fillId="3" borderId="0" xfId="1" applyNumberFormat="1" applyFont="1" applyFill="1" applyAlignment="1">
      <alignment horizontal="center" vertical="center"/>
    </xf>
    <xf numFmtId="0" fontId="38" fillId="3" borderId="0" xfId="1" applyFont="1" applyFill="1"/>
    <xf numFmtId="0" fontId="42" fillId="3" borderId="0" xfId="1" applyFont="1" applyFill="1"/>
    <xf numFmtId="170" fontId="9" fillId="2" borderId="16" xfId="1" applyNumberFormat="1" applyFont="1" applyFill="1" applyBorder="1" applyAlignment="1" applyProtection="1">
      <alignment horizontal="center" vertical="center"/>
      <protection locked="0"/>
    </xf>
    <xf numFmtId="4" fontId="9" fillId="2" borderId="13" xfId="1" applyNumberFormat="1" applyFont="1" applyFill="1" applyBorder="1" applyAlignment="1" applyProtection="1">
      <alignment vertical="center"/>
      <protection locked="0"/>
    </xf>
    <xf numFmtId="167" fontId="9" fillId="2" borderId="31" xfId="1" applyNumberFormat="1" applyFont="1" applyFill="1" applyBorder="1" applyAlignment="1" applyProtection="1">
      <alignment vertical="center"/>
      <protection locked="0"/>
    </xf>
    <xf numFmtId="4" fontId="9" fillId="2" borderId="32" xfId="1" applyNumberFormat="1" applyFont="1" applyFill="1" applyBorder="1" applyAlignment="1" applyProtection="1">
      <alignment vertical="center"/>
      <protection locked="0"/>
    </xf>
    <xf numFmtId="0" fontId="45" fillId="4" borderId="5" xfId="1" applyFont="1" applyFill="1" applyBorder="1"/>
    <xf numFmtId="0" fontId="9" fillId="2" borderId="0" xfId="1" applyFont="1" applyFill="1"/>
    <xf numFmtId="0" fontId="2" fillId="0" borderId="0" xfId="1" applyFont="1"/>
    <xf numFmtId="0" fontId="9" fillId="2" borderId="49" xfId="1" applyFont="1" applyFill="1" applyBorder="1" applyProtection="1">
      <protection locked="0"/>
    </xf>
    <xf numFmtId="0" fontId="2" fillId="0" borderId="49" xfId="1" applyFont="1" applyBorder="1" applyProtection="1">
      <protection locked="0"/>
    </xf>
    <xf numFmtId="0" fontId="36" fillId="2" borderId="0" xfId="1" applyFont="1" applyFill="1" applyAlignment="1">
      <alignment horizontal="left" vertical="center" wrapText="1"/>
    </xf>
    <xf numFmtId="0" fontId="39" fillId="3" borderId="0" xfId="1" applyFont="1" applyFill="1" applyAlignment="1">
      <alignment horizontal="right" vertical="center" wrapText="1"/>
    </xf>
    <xf numFmtId="0" fontId="7" fillId="2" borderId="3" xfId="1" applyFont="1" applyFill="1" applyBorder="1"/>
    <xf numFmtId="0" fontId="2" fillId="0" borderId="3" xfId="1" applyFont="1" applyBorder="1"/>
    <xf numFmtId="0" fontId="9" fillId="2" borderId="4" xfId="1" applyFont="1" applyFill="1" applyBorder="1"/>
    <xf numFmtId="0" fontId="2" fillId="0" borderId="4" xfId="1" applyFont="1" applyBorder="1"/>
    <xf numFmtId="0" fontId="9" fillId="2" borderId="17" xfId="1" applyFont="1" applyFill="1" applyBorder="1"/>
    <xf numFmtId="0" fontId="2" fillId="0" borderId="17" xfId="1" applyFont="1" applyBorder="1"/>
    <xf numFmtId="0" fontId="23" fillId="0" borderId="0" xfId="1" applyFont="1" applyAlignment="1">
      <alignment horizontal="right" vertical="center"/>
    </xf>
    <xf numFmtId="0" fontId="12" fillId="2" borderId="41" xfId="1" applyFont="1" applyFill="1" applyBorder="1" applyAlignment="1">
      <alignment horizontal="right" indent="1"/>
    </xf>
    <xf numFmtId="0" fontId="12" fillId="0" borderId="42" xfId="1" applyFont="1" applyBorder="1" applyAlignment="1">
      <alignment horizontal="right" indent="1"/>
    </xf>
    <xf numFmtId="0" fontId="21" fillId="2" borderId="0" xfId="1" applyFont="1" applyFill="1" applyAlignment="1">
      <alignment horizontal="right"/>
    </xf>
    <xf numFmtId="0" fontId="21" fillId="0" borderId="0" xfId="1" applyFont="1"/>
    <xf numFmtId="0" fontId="12" fillId="2" borderId="0" xfId="1" applyFont="1" applyFill="1" applyAlignment="1" applyProtection="1">
      <alignment horizontal="right"/>
      <protection locked="0"/>
    </xf>
    <xf numFmtId="0" fontId="12" fillId="2" borderId="1" xfId="1" applyFont="1" applyFill="1" applyBorder="1" applyAlignment="1" applyProtection="1">
      <alignment horizontal="right"/>
      <protection locked="0"/>
    </xf>
    <xf numFmtId="0" fontId="7" fillId="2" borderId="3" xfId="1" applyFont="1" applyFill="1" applyBorder="1" applyAlignment="1">
      <alignment horizontal="left"/>
    </xf>
    <xf numFmtId="169" fontId="12" fillId="2" borderId="0" xfId="1" applyNumberFormat="1" applyFont="1" applyFill="1" applyAlignment="1">
      <alignment horizontal="center"/>
    </xf>
    <xf numFmtId="0" fontId="33" fillId="0" borderId="0" xfId="1" applyFont="1" applyAlignment="1">
      <alignment horizontal="center"/>
    </xf>
    <xf numFmtId="0" fontId="12" fillId="2" borderId="0" xfId="1" applyFont="1" applyFill="1" applyAlignment="1">
      <alignment horizontal="center"/>
    </xf>
    <xf numFmtId="0" fontId="7" fillId="2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2" borderId="8" xfId="1" applyFont="1" applyFill="1" applyBorder="1" applyAlignment="1" applyProtection="1">
      <alignment vertical="center" wrapText="1"/>
      <protection locked="0"/>
    </xf>
    <xf numFmtId="0" fontId="9" fillId="2" borderId="14" xfId="1" applyFont="1" applyFill="1" applyBorder="1" applyAlignment="1" applyProtection="1">
      <alignment horizontal="left" vertical="center" wrapText="1" indent="1"/>
      <protection locked="0"/>
    </xf>
    <xf numFmtId="0" fontId="9" fillId="2" borderId="16" xfId="1" applyFont="1" applyFill="1" applyBorder="1" applyAlignment="1" applyProtection="1">
      <alignment horizontal="left" vertical="center" wrapText="1" indent="1"/>
      <protection locked="0"/>
    </xf>
    <xf numFmtId="0" fontId="24" fillId="2" borderId="14" xfId="1" applyFont="1" applyFill="1" applyBorder="1" applyAlignment="1" applyProtection="1">
      <alignment horizontal="left" vertical="center" wrapText="1" indent="1"/>
      <protection locked="0"/>
    </xf>
    <xf numFmtId="0" fontId="24" fillId="2" borderId="16" xfId="1" applyFont="1" applyFill="1" applyBorder="1" applyAlignment="1" applyProtection="1">
      <alignment horizontal="left" vertical="center" wrapText="1" indent="1"/>
      <protection locked="0"/>
    </xf>
    <xf numFmtId="0" fontId="9" fillId="2" borderId="14" xfId="1" applyFont="1" applyFill="1" applyBorder="1" applyAlignment="1" applyProtection="1">
      <alignment horizontal="left" vertical="center" wrapText="1"/>
      <protection locked="0"/>
    </xf>
    <xf numFmtId="0" fontId="9" fillId="2" borderId="15" xfId="1" applyFont="1" applyFill="1" applyBorder="1" applyAlignment="1" applyProtection="1">
      <alignment horizontal="left" vertical="center" wrapText="1"/>
      <protection locked="0"/>
    </xf>
    <xf numFmtId="0" fontId="9" fillId="0" borderId="8" xfId="1" applyFont="1" applyBorder="1" applyAlignment="1" applyProtection="1">
      <alignment vertical="center" wrapText="1"/>
      <protection locked="0"/>
    </xf>
    <xf numFmtId="0" fontId="23" fillId="2" borderId="14" xfId="1" applyFont="1" applyFill="1" applyBorder="1" applyAlignment="1" applyProtection="1">
      <alignment horizontal="left" vertical="center" wrapText="1"/>
      <protection locked="0"/>
    </xf>
    <xf numFmtId="0" fontId="23" fillId="2" borderId="15" xfId="1" applyFont="1" applyFill="1" applyBorder="1" applyAlignment="1" applyProtection="1">
      <alignment horizontal="left" vertical="center" wrapText="1"/>
      <protection locked="0"/>
    </xf>
    <xf numFmtId="0" fontId="23" fillId="2" borderId="33" xfId="1" applyFont="1" applyFill="1" applyBorder="1" applyAlignment="1" applyProtection="1">
      <alignment horizontal="left" vertical="center" wrapText="1"/>
      <protection locked="0"/>
    </xf>
    <xf numFmtId="0" fontId="23" fillId="2" borderId="35" xfId="1" applyFont="1" applyFill="1" applyBorder="1" applyAlignment="1" applyProtection="1">
      <alignment horizontal="left" vertical="center" wrapText="1"/>
      <protection locked="0"/>
    </xf>
    <xf numFmtId="0" fontId="23" fillId="2" borderId="8" xfId="1" applyFont="1" applyFill="1" applyBorder="1" applyAlignment="1" applyProtection="1">
      <alignment vertical="center" wrapText="1"/>
      <protection locked="0"/>
    </xf>
    <xf numFmtId="0" fontId="12" fillId="2" borderId="0" xfId="1" applyFont="1" applyFill="1" applyAlignment="1">
      <alignment horizontal="right"/>
    </xf>
    <xf numFmtId="0" fontId="12" fillId="2" borderId="0" xfId="1" applyFont="1" applyFill="1"/>
    <xf numFmtId="0" fontId="2" fillId="2" borderId="14" xfId="1" applyFont="1" applyFill="1" applyBorder="1" applyProtection="1">
      <protection locked="0"/>
    </xf>
    <xf numFmtId="0" fontId="2" fillId="2" borderId="16" xfId="1" applyFont="1" applyFill="1" applyBorder="1" applyProtection="1">
      <protection locked="0"/>
    </xf>
    <xf numFmtId="0" fontId="2" fillId="2" borderId="15" xfId="1" applyFont="1" applyFill="1" applyBorder="1" applyProtection="1">
      <protection locked="0"/>
    </xf>
    <xf numFmtId="0" fontId="2" fillId="2" borderId="0" xfId="1" applyFont="1" applyFill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/>
    <xf numFmtId="0" fontId="9" fillId="2" borderId="3" xfId="1" applyFont="1" applyFill="1" applyBorder="1"/>
    <xf numFmtId="0" fontId="12" fillId="2" borderId="20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/>
    </xf>
    <xf numFmtId="0" fontId="9" fillId="2" borderId="15" xfId="1" applyFont="1" applyFill="1" applyBorder="1" applyAlignment="1" applyProtection="1">
      <alignment horizontal="left" vertical="center" wrapText="1" indent="1"/>
      <protection locked="0"/>
    </xf>
    <xf numFmtId="0" fontId="2" fillId="2" borderId="0" xfId="1" applyFont="1" applyFill="1"/>
    <xf numFmtId="0" fontId="14" fillId="2" borderId="14" xfId="2" applyFill="1" applyBorder="1" applyAlignment="1" applyProtection="1">
      <alignment horizontal="center"/>
      <protection locked="0"/>
    </xf>
    <xf numFmtId="0" fontId="2" fillId="2" borderId="15" xfId="1" applyFont="1" applyFill="1" applyBorder="1" applyAlignment="1" applyProtection="1">
      <alignment horizontal="center"/>
      <protection locked="0"/>
    </xf>
    <xf numFmtId="0" fontId="7" fillId="2" borderId="9" xfId="1" quotePrefix="1" applyFont="1" applyFill="1" applyBorder="1" applyAlignment="1" applyProtection="1">
      <alignment horizontal="left"/>
      <protection locked="0"/>
    </xf>
    <xf numFmtId="0" fontId="7" fillId="2" borderId="10" xfId="1" applyFont="1" applyFill="1" applyBorder="1" applyAlignment="1" applyProtection="1">
      <alignment horizontal="left"/>
      <protection locked="0"/>
    </xf>
    <xf numFmtId="0" fontId="7" fillId="2" borderId="11" xfId="1" applyFont="1" applyFill="1" applyBorder="1" applyAlignment="1" applyProtection="1">
      <alignment horizontal="left"/>
      <protection locked="0"/>
    </xf>
  </cellXfs>
  <cellStyles count="4">
    <cellStyle name="Comma_Insuran Table" xfId="3" xr:uid="{BA246367-EEF4-4182-ACC2-EC0649A2F1BA}"/>
    <cellStyle name="Hyperlink" xfId="2" builtinId="8"/>
    <cellStyle name="Normal" xfId="0" builtinId="0"/>
    <cellStyle name="Normal 2" xfId="1" xr:uid="{1E51D291-3ADE-4B4C-AB79-7B7912B0C241}"/>
  </cellStyles>
  <dxfs count="1">
    <dxf>
      <font>
        <b/>
        <i val="0"/>
        <strike val="0"/>
        <color indexed="50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83B1-CD47-4160-B91B-C7ED56DB5E37}">
  <sheetPr codeName="Sheet1">
    <pageSetUpPr fitToPage="1"/>
  </sheetPr>
  <dimension ref="A1:X195"/>
  <sheetViews>
    <sheetView tabSelected="1" view="pageBreakPreview" topLeftCell="A35" zoomScale="90" zoomScaleNormal="90" zoomScaleSheetLayoutView="90" zoomScalePageLayoutView="130" workbookViewId="0">
      <selection activeCell="C39" sqref="C39:D39"/>
    </sheetView>
  </sheetViews>
  <sheetFormatPr defaultColWidth="9.28515625" defaultRowHeight="12.75" x14ac:dyDescent="0.2"/>
  <cols>
    <col min="1" max="1" width="5.28515625" style="6" customWidth="1"/>
    <col min="2" max="2" width="19.42578125" style="6" customWidth="1"/>
    <col min="3" max="3" width="16.7109375" style="6" customWidth="1"/>
    <col min="4" max="4" width="13.28515625" style="6" customWidth="1"/>
    <col min="5" max="6" width="15" style="6" customWidth="1"/>
    <col min="7" max="7" width="22" style="6" customWidth="1"/>
    <col min="8" max="8" width="16.28515625" style="6" customWidth="1"/>
    <col min="9" max="9" width="13" style="173" customWidth="1"/>
    <col min="10" max="10" width="11.7109375" style="173" customWidth="1"/>
    <col min="11" max="11" width="9.28515625" style="173" customWidth="1"/>
    <col min="12" max="12" width="7.7109375" style="173" customWidth="1"/>
    <col min="13" max="24" width="9.28515625" style="5"/>
    <col min="25" max="16384" width="9.28515625" style="6"/>
  </cols>
  <sheetData>
    <row r="1" spans="1:24" ht="13.5" customHeight="1" x14ac:dyDescent="0.2">
      <c r="A1" s="1"/>
      <c r="B1" s="1"/>
      <c r="C1" s="1"/>
      <c r="D1" s="1"/>
      <c r="E1" s="1"/>
      <c r="F1" s="1"/>
      <c r="G1" s="2" t="s">
        <v>0</v>
      </c>
      <c r="H1" s="3" t="s">
        <v>1</v>
      </c>
      <c r="I1" s="4" t="s">
        <v>2</v>
      </c>
      <c r="J1" s="4" t="s">
        <v>3</v>
      </c>
      <c r="K1" s="4" t="s">
        <v>4</v>
      </c>
      <c r="L1" s="4" t="s">
        <v>5</v>
      </c>
    </row>
    <row r="2" spans="1:24" s="12" customFormat="1" ht="13.5" customHeight="1" x14ac:dyDescent="0.2">
      <c r="A2" s="220" t="s">
        <v>6</v>
      </c>
      <c r="B2" s="258"/>
      <c r="C2" s="258"/>
      <c r="D2" s="258"/>
      <c r="E2" s="8"/>
      <c r="F2" s="9"/>
      <c r="G2" s="10"/>
      <c r="H2" s="1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2" customFormat="1" ht="3" customHeight="1" x14ac:dyDescent="0.2">
      <c r="A3" s="222"/>
      <c r="B3" s="259"/>
      <c r="C3" s="1"/>
      <c r="D3" s="14"/>
      <c r="E3" s="14"/>
      <c r="F3" s="14"/>
      <c r="G3" s="14"/>
      <c r="H3" s="1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2" customFormat="1" ht="13.5" customHeight="1" x14ac:dyDescent="0.2">
      <c r="A4" s="252" t="s">
        <v>7</v>
      </c>
      <c r="B4" s="253"/>
      <c r="C4" s="213" t="s">
        <v>163</v>
      </c>
      <c r="D4" s="17"/>
      <c r="E4" s="18"/>
      <c r="F4" s="19"/>
      <c r="G4" s="15" t="s">
        <v>8</v>
      </c>
      <c r="H4" s="20"/>
      <c r="I4" s="4">
        <f ca="1">MTD/12</f>
        <v>49.666666666666664</v>
      </c>
      <c r="J4" s="4">
        <f ca="1">ROUNDDOWN(I4,0)</f>
        <v>49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2" customFormat="1" ht="3" customHeight="1" x14ac:dyDescent="0.2">
      <c r="A5" s="214"/>
      <c r="B5" s="264"/>
      <c r="C5" s="21"/>
      <c r="D5" s="22"/>
      <c r="E5" s="22"/>
      <c r="F5" s="14"/>
      <c r="G5" s="14"/>
      <c r="H5" s="1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s="12" customFormat="1" ht="13.5" customHeight="1" x14ac:dyDescent="0.2">
      <c r="A6" s="252" t="s">
        <v>9</v>
      </c>
      <c r="B6" s="253"/>
      <c r="C6" s="267" t="s">
        <v>164</v>
      </c>
      <c r="D6" s="268"/>
      <c r="E6" s="269"/>
      <c r="F6" s="23"/>
      <c r="G6" s="15" t="s">
        <v>10</v>
      </c>
      <c r="H6" s="24" t="str">
        <f ca="1">CONCATENATE(MID(C6,5,2),"/",MID(C6,3,2),"/",IF(LEFT(C6,2)&lt;RIGHT(YEAR(TODAY()),2),"20","19"),LEFT(C6,2))</f>
        <v>07/04/1988</v>
      </c>
      <c r="I6" s="25">
        <f ca="1">IF(jobCode="C",(((2000-YEAR(custDOB)-1)+(YEAR(C98)-2000))*12)+((12-MONTH(custDOB))+MONTH(C98))+Term+2-1,(((2000-YEAR(custDOB)-1)+(YEAR(C98)-2000))*12)+((12-MONTH(custDOB))+MONTH(C98))+Term+3-1)</f>
        <v>596</v>
      </c>
      <c r="J6" s="4">
        <f ca="1">(I4-ROUNDDOWN(I4,0))*12</f>
        <v>7.9999999999999716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12" customFormat="1" ht="3" customHeight="1" x14ac:dyDescent="0.2">
      <c r="A7" s="214"/>
      <c r="B7" s="264"/>
      <c r="C7" s="1"/>
      <c r="D7" s="14"/>
      <c r="E7" s="14"/>
      <c r="F7" s="14"/>
      <c r="G7" s="14"/>
      <c r="H7" s="14"/>
      <c r="I7" s="4"/>
      <c r="J7" s="26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2" customFormat="1" ht="13.5" hidden="1" customHeight="1" x14ac:dyDescent="0.2">
      <c r="A8" s="252" t="s">
        <v>11</v>
      </c>
      <c r="B8" s="253"/>
      <c r="C8" s="27"/>
      <c r="D8" s="265"/>
      <c r="E8" s="266"/>
      <c r="F8" s="14"/>
      <c r="G8" s="15" t="s">
        <v>12</v>
      </c>
      <c r="H8" s="28"/>
      <c r="I8" s="29" t="str">
        <f>IF(CustGender="M",custAgeNext,IF(CustGender="F",custAgeNext-4,"&lt;&lt;&lt; ???"))</f>
        <v>&lt;&lt;&lt; ???</v>
      </c>
      <c r="J8" s="4" t="s">
        <v>13</v>
      </c>
      <c r="K8" s="4" t="s">
        <v>14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2" customFormat="1" ht="3" hidden="1" customHeight="1" x14ac:dyDescent="0.2">
      <c r="A9" s="214"/>
      <c r="B9" s="264"/>
      <c r="C9" s="1"/>
      <c r="D9" s="19"/>
      <c r="E9" s="14"/>
      <c r="F9" s="14"/>
      <c r="G9" s="30"/>
      <c r="H9" s="1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2" customFormat="1" ht="13.5" hidden="1" customHeight="1" x14ac:dyDescent="0.2">
      <c r="A10" s="252" t="s">
        <v>15</v>
      </c>
      <c r="B10" s="253"/>
      <c r="C10" s="254"/>
      <c r="D10" s="255"/>
      <c r="E10" s="256"/>
      <c r="F10" s="14"/>
      <c r="G10" s="15" t="s">
        <v>16</v>
      </c>
      <c r="H10" s="31"/>
      <c r="I10" s="29"/>
      <c r="J10" s="32" t="e">
        <f>HLOOKUP(VLOOKUP(jobCode,$I$184:$K$186,3),$I$141:$Q$180,($I$8-12))</f>
        <v>#N/A</v>
      </c>
      <c r="K10" s="32" t="e">
        <f>HLOOKUP(VLOOKUP(jobCode,$I$183:$K$186,2),$I$141:$Q$180,($I$8-12))</f>
        <v>#N/A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s="12" customFormat="1" ht="3" hidden="1" customHeight="1" x14ac:dyDescent="0.2">
      <c r="A11" s="214"/>
      <c r="B11" s="264"/>
      <c r="C11" s="1"/>
      <c r="D11" s="19"/>
      <c r="E11" s="19"/>
      <c r="F11" s="14"/>
      <c r="G11" s="30"/>
      <c r="H11" s="33"/>
      <c r="I11" s="4"/>
      <c r="J11" s="2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s="12" customFormat="1" ht="13.5" hidden="1" customHeight="1" x14ac:dyDescent="0.2">
      <c r="A12" s="252" t="s">
        <v>17</v>
      </c>
      <c r="B12" s="253"/>
      <c r="C12" s="28"/>
      <c r="D12" s="28"/>
      <c r="E12" s="14"/>
      <c r="F12" s="14"/>
      <c r="G12" s="15" t="s">
        <v>18</v>
      </c>
      <c r="H12" s="28"/>
      <c r="I12" s="4"/>
      <c r="J12" s="2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s="12" customFormat="1" ht="3" hidden="1" customHeight="1" x14ac:dyDescent="0.2">
      <c r="A13" s="214"/>
      <c r="B13" s="264"/>
      <c r="C13" s="1"/>
      <c r="D13" s="19"/>
      <c r="E13" s="19"/>
      <c r="F13" s="14"/>
      <c r="G13" s="30"/>
      <c r="H13" s="33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s="12" customFormat="1" ht="13.5" hidden="1" customHeight="1" x14ac:dyDescent="0.2">
      <c r="A14" s="252" t="s">
        <v>19</v>
      </c>
      <c r="B14" s="253"/>
      <c r="C14" s="254"/>
      <c r="D14" s="255"/>
      <c r="E14" s="256"/>
      <c r="F14" s="14"/>
      <c r="G14" s="15" t="s">
        <v>20</v>
      </c>
      <c r="H14" s="34"/>
      <c r="I14" s="4"/>
      <c r="J14" s="2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s="12" customFormat="1" ht="3" hidden="1" customHeight="1" x14ac:dyDescent="0.2">
      <c r="A15" s="214"/>
      <c r="B15" s="264"/>
      <c r="C15" s="1"/>
      <c r="D15" s="19"/>
      <c r="E15" s="19"/>
      <c r="F15" s="14"/>
      <c r="G15" s="30"/>
      <c r="H15" s="33"/>
      <c r="I15" s="4"/>
      <c r="J15" s="2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s="12" customFormat="1" ht="13.5" hidden="1" customHeight="1" x14ac:dyDescent="0.2">
      <c r="A16" s="252" t="s">
        <v>21</v>
      </c>
      <c r="B16" s="253"/>
      <c r="C16" s="254"/>
      <c r="D16" s="255"/>
      <c r="E16" s="256"/>
      <c r="F16" s="14"/>
      <c r="G16" s="15" t="s">
        <v>22</v>
      </c>
      <c r="H16" s="35"/>
      <c r="I16" s="4"/>
      <c r="J16" s="2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s="12" customFormat="1" ht="3" customHeight="1" x14ac:dyDescent="0.2">
      <c r="A17" s="14"/>
      <c r="B17" s="14"/>
      <c r="C17" s="14"/>
      <c r="D17" s="14"/>
      <c r="E17" s="14"/>
      <c r="F17" s="14"/>
      <c r="G17" s="30"/>
      <c r="H17" s="19"/>
      <c r="I17" s="4"/>
      <c r="J17" s="2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s="12" customFormat="1" ht="13.5" customHeight="1" x14ac:dyDescent="0.2">
      <c r="A18" s="257" t="s">
        <v>23</v>
      </c>
      <c r="B18" s="257"/>
      <c r="C18" s="254" t="s">
        <v>24</v>
      </c>
      <c r="D18" s="255"/>
      <c r="E18" s="256"/>
      <c r="F18" s="36"/>
      <c r="G18" s="15" t="s">
        <v>25</v>
      </c>
      <c r="H18" s="37">
        <f ca="1">IF(custDOB="","-",YEAR(TODAY())-YEAR(custDOB)+(IF(MONTH(TODAY())+3&lt;MONTH(custDOB),0,1)))</f>
        <v>38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s="12" customFormat="1" ht="3" customHeight="1" x14ac:dyDescent="0.2">
      <c r="A19" s="14"/>
      <c r="B19" s="14"/>
      <c r="C19" s="14"/>
      <c r="D19" s="14"/>
      <c r="E19" s="14"/>
      <c r="F19" s="14"/>
      <c r="G19" s="30"/>
      <c r="H19" s="19"/>
      <c r="I19" s="4"/>
      <c r="J19" s="26"/>
      <c r="K19" s="4"/>
      <c r="L19" s="4"/>
      <c r="M19" s="4"/>
      <c r="N19" s="4"/>
      <c r="O19" s="4"/>
      <c r="P19" s="38"/>
      <c r="Q19" s="4"/>
      <c r="R19" s="4"/>
      <c r="S19" s="4"/>
      <c r="T19" s="4"/>
      <c r="U19" s="4"/>
      <c r="V19" s="4"/>
      <c r="W19" s="4"/>
      <c r="X19" s="4"/>
    </row>
    <row r="20" spans="1:24" s="12" customFormat="1" ht="13.5" customHeight="1" x14ac:dyDescent="0.2">
      <c r="A20" s="220" t="s">
        <v>26</v>
      </c>
      <c r="B20" s="258"/>
      <c r="C20" s="7"/>
      <c r="D20" s="9"/>
      <c r="E20" s="39"/>
      <c r="F20" s="40"/>
      <c r="G20" s="41"/>
      <c r="H20" s="4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s="12" customFormat="1" ht="3" customHeight="1" x14ac:dyDescent="0.2">
      <c r="A21" s="222"/>
      <c r="B21" s="259"/>
      <c r="C21" s="1"/>
      <c r="D21" s="22"/>
      <c r="E21" s="14"/>
      <c r="F21" s="14"/>
      <c r="G21" s="14"/>
      <c r="H21" s="1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s="12" customFormat="1" ht="13.5" customHeight="1" x14ac:dyDescent="0.2">
      <c r="A22" s="14"/>
      <c r="B22" s="14"/>
      <c r="C22" s="14"/>
      <c r="D22" s="15" t="s">
        <v>27</v>
      </c>
      <c r="E22" s="43">
        <v>4519.93</v>
      </c>
      <c r="F22" s="44"/>
      <c r="G22" s="45" t="s">
        <v>28</v>
      </c>
      <c r="H22" s="46">
        <v>45139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12" customFormat="1" ht="3" customHeight="1" x14ac:dyDescent="0.2">
      <c r="A23" s="14"/>
      <c r="B23" s="14"/>
      <c r="C23" s="14"/>
      <c r="D23" s="14"/>
      <c r="E23" s="47"/>
      <c r="F23" s="14"/>
      <c r="G23" s="14"/>
      <c r="H23" s="1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12" customFormat="1" ht="13.5" customHeight="1" x14ac:dyDescent="0.2">
      <c r="A24" s="14"/>
      <c r="B24" s="14"/>
      <c r="C24" s="14"/>
      <c r="D24" s="15" t="s">
        <v>29</v>
      </c>
      <c r="E24" s="48"/>
      <c r="F24" s="49">
        <f>custFixed+adjust</f>
        <v>4519.93</v>
      </c>
      <c r="G24" s="16" t="s">
        <v>30</v>
      </c>
      <c r="H24" s="1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12" customFormat="1" ht="3" customHeight="1" x14ac:dyDescent="0.2">
      <c r="A25" s="14"/>
      <c r="B25" s="14"/>
      <c r="C25" s="14"/>
      <c r="D25" s="14"/>
      <c r="E25" s="47"/>
      <c r="F25" s="14"/>
      <c r="G25" s="14"/>
      <c r="H25" s="1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12" customFormat="1" ht="13.5" customHeight="1" x14ac:dyDescent="0.2">
      <c r="A26" s="14"/>
      <c r="B26" s="14"/>
      <c r="C26" s="14"/>
      <c r="D26" s="15" t="s">
        <v>31</v>
      </c>
      <c r="E26" s="50">
        <f>custFixedTotal*maxDeduct</f>
        <v>2711.9580000000001</v>
      </c>
      <c r="F26" s="51">
        <v>0.6</v>
      </c>
      <c r="G26" s="14"/>
      <c r="H26" s="30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12" customFormat="1" ht="3" customHeight="1" x14ac:dyDescent="0.2">
      <c r="A27" s="14"/>
      <c r="B27" s="14"/>
      <c r="C27" s="14"/>
      <c r="D27" s="30"/>
      <c r="E27" s="52"/>
      <c r="F27" s="53"/>
      <c r="G27" s="14"/>
      <c r="H27" s="1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s="12" customFormat="1" ht="13.5" customHeight="1" x14ac:dyDescent="0.2">
      <c r="A28" s="14"/>
      <c r="B28" s="14"/>
      <c r="C28" s="14"/>
      <c r="D28" s="15" t="s">
        <v>32</v>
      </c>
      <c r="E28" s="43">
        <v>2592.5500000000002</v>
      </c>
      <c r="F28" s="44"/>
      <c r="G28" s="14"/>
      <c r="H28" s="1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s="12" customFormat="1" ht="3" customHeight="1" x14ac:dyDescent="0.2">
      <c r="A29" s="14"/>
      <c r="B29" s="14"/>
      <c r="C29" s="14"/>
      <c r="D29" s="14"/>
      <c r="E29" s="14"/>
      <c r="F29" s="54"/>
      <c r="G29" s="14"/>
      <c r="H29" s="14" t="s">
        <v>33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s="12" customFormat="1" ht="13.5" customHeight="1" x14ac:dyDescent="0.2">
      <c r="A30" s="14"/>
      <c r="B30" s="14"/>
      <c r="C30" s="14"/>
      <c r="D30" s="15" t="s">
        <v>34</v>
      </c>
      <c r="E30" s="55">
        <f>max-custDuct</f>
        <v>119.4079999999999</v>
      </c>
      <c r="F30" s="56"/>
      <c r="G30" s="14"/>
      <c r="H30" s="1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s="12" customFormat="1" ht="3" customHeight="1" x14ac:dyDescent="0.2">
      <c r="A31" s="260"/>
      <c r="B31" s="258"/>
      <c r="C31" s="1"/>
      <c r="D31" s="14"/>
      <c r="E31" s="14"/>
      <c r="F31" s="14"/>
      <c r="G31" s="14"/>
      <c r="H31" s="1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s="12" customFormat="1" ht="25.5" customHeight="1" x14ac:dyDescent="0.2">
      <c r="A32" s="57" t="s">
        <v>35</v>
      </c>
      <c r="B32" s="261" t="s">
        <v>36</v>
      </c>
      <c r="C32" s="261"/>
      <c r="D32" s="262"/>
      <c r="E32" s="58" t="s">
        <v>37</v>
      </c>
      <c r="F32" s="59" t="s">
        <v>38</v>
      </c>
      <c r="G32" s="60" t="s">
        <v>39</v>
      </c>
      <c r="H32" s="61" t="str">
        <f>IF(I88&gt;=60,"DSR BURST","")</f>
        <v/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s="12" customFormat="1" ht="20.65" customHeight="1" x14ac:dyDescent="0.2">
      <c r="A33" s="62"/>
      <c r="B33" s="63" t="str">
        <f>IF(A33="","",VLOOKUP(A33,$I$109:$L$138,2))</f>
        <v/>
      </c>
      <c r="C33" s="240" t="s">
        <v>161</v>
      </c>
      <c r="D33" s="263"/>
      <c r="E33" s="64"/>
      <c r="F33" s="65"/>
      <c r="G33" s="66">
        <f>C55*0.2</f>
        <v>1620</v>
      </c>
      <c r="H33" s="67" t="str">
        <f>IF(PIFMonth1="","",I33)</f>
        <v/>
      </c>
      <c r="I33" s="4" t="str">
        <f>IF(_PIF1&gt;J33,"*","")</f>
        <v>*</v>
      </c>
      <c r="J33" s="4">
        <f>(PIFMonth1*Term)/(((Interest/100)*(Term/12))+1)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s="12" customFormat="1" ht="20.65" customHeight="1" x14ac:dyDescent="0.2">
      <c r="A34" s="62"/>
      <c r="B34" s="68" t="str">
        <f>IF(A34="","",VLOOKUP(A34,$I$109:$L$138,2))</f>
        <v/>
      </c>
      <c r="C34" s="240" t="s">
        <v>40</v>
      </c>
      <c r="D34" s="263"/>
      <c r="E34" s="64"/>
      <c r="F34" s="65" t="s">
        <v>33</v>
      </c>
      <c r="G34" s="66">
        <f>LA*0.005</f>
        <v>40.5</v>
      </c>
      <c r="H34" s="67" t="str">
        <f>IF(PIFMonth2="","",I34)</f>
        <v/>
      </c>
      <c r="I34" s="4" t="str">
        <f>IF(_PIF2&gt;J34,"*","")</f>
        <v>*</v>
      </c>
      <c r="J34" s="4">
        <f>(PIFMonth2*Term)/(((Interest/100)*(Term/12))+1)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s="12" customFormat="1" ht="20.65" customHeight="1" x14ac:dyDescent="0.2">
      <c r="A35" s="62"/>
      <c r="B35" s="68"/>
      <c r="C35" s="240" t="s">
        <v>41</v>
      </c>
      <c r="D35" s="263"/>
      <c r="E35" s="69"/>
      <c r="F35" s="65"/>
      <c r="G35" s="70">
        <f>J35-I35</f>
        <v>103.78999999999905</v>
      </c>
      <c r="H35" s="61" t="str">
        <f ca="1">IF(ROUNDDOWN((TODAY()-H6)/365,0)+(C59/12)&gt;=60,"MORE 60 YO","")</f>
        <v/>
      </c>
      <c r="I35" s="4">
        <f>ROUND(loanInst,2)*((Term-1))</f>
        <v>14790.490000000002</v>
      </c>
      <c r="J35" s="4">
        <f>(LA*Interest%)*(Term/12)+LA</f>
        <v>14894.28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s="12" customFormat="1" ht="20.65" customHeight="1" x14ac:dyDescent="0.2">
      <c r="A36" s="62"/>
      <c r="B36" s="68" t="str">
        <f>IF(A36="","",VLOOKUP(A36,$I$109:$L$138,2))</f>
        <v/>
      </c>
      <c r="C36" s="240" t="s">
        <v>162</v>
      </c>
      <c r="D36" s="241"/>
      <c r="E36" s="69"/>
      <c r="F36" s="209"/>
      <c r="G36" s="210"/>
      <c r="H36" s="67" t="str">
        <f>IF(PIFMonth3="","",I36)</f>
        <v/>
      </c>
      <c r="I36" s="4" t="str">
        <f>IF(_PIF3&gt;J36,"*","")</f>
        <v/>
      </c>
      <c r="J36" s="4">
        <f>(PIFMonth3*Term)/(((Interest/100)*(Term/12))+1)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s="12" customFormat="1" ht="20.65" customHeight="1" x14ac:dyDescent="0.2">
      <c r="A37" s="62"/>
      <c r="B37" s="68" t="str">
        <f>IF(A37="","",VLOOKUP(A37,$I$109:$L$138,2))</f>
        <v/>
      </c>
      <c r="C37" s="240"/>
      <c r="D37" s="241"/>
      <c r="E37" s="211"/>
      <c r="F37" s="65"/>
      <c r="G37" s="212"/>
      <c r="H37" s="67" t="str">
        <f>IF(PIFMonth4="","",I37)</f>
        <v/>
      </c>
      <c r="I37" s="4" t="str">
        <f>IF(_PIF4&gt;J37,"*","")</f>
        <v/>
      </c>
      <c r="J37" s="4">
        <f>(PIFMonth4*Term)/(((Interest/100)*(Term/12))+1)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s="12" customFormat="1" ht="20.65" customHeight="1" x14ac:dyDescent="0.2">
      <c r="A38" s="62"/>
      <c r="B38" s="68" t="str">
        <f>IF(A38="","",VLOOKUP(A38,$I$109:$L$138,2))</f>
        <v/>
      </c>
      <c r="C38" s="242"/>
      <c r="D38" s="243"/>
      <c r="E38" s="72"/>
      <c r="F38" s="65"/>
      <c r="G38" s="71"/>
      <c r="H38" s="67" t="str">
        <f>IF(PIFMonth5="","",I38)</f>
        <v/>
      </c>
      <c r="I38" s="4" t="str">
        <f>IF(_PIF5&gt;J38,"*","")</f>
        <v/>
      </c>
      <c r="J38" s="4">
        <f>(PIFMonth5*Term)/(((Interest/100)*(Term/12))+1)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s="12" customFormat="1" ht="20.65" customHeight="1" x14ac:dyDescent="0.2">
      <c r="A39" s="62"/>
      <c r="B39" s="68" t="str">
        <f>IF(A39="","",VLOOKUP(A39,$I$109:$L$138,2))</f>
        <v/>
      </c>
      <c r="C39" s="244"/>
      <c r="D39" s="245"/>
      <c r="E39" s="73"/>
      <c r="F39" s="65"/>
      <c r="G39" s="74"/>
      <c r="H39" s="67" t="str">
        <f>IF(PIFMonth6="","",I39)</f>
        <v/>
      </c>
      <c r="I39" s="4" t="str">
        <f>IF(_PIF6&gt;J39,"*","")</f>
        <v/>
      </c>
      <c r="J39" s="4">
        <f>(PIFMonth6*Term)/(((Interest/100)*(Term/12))+1)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s="12" customFormat="1" ht="20.65" customHeight="1" x14ac:dyDescent="0.2">
      <c r="A40" s="62"/>
      <c r="B40" s="68"/>
      <c r="C40" s="244"/>
      <c r="D40" s="245"/>
      <c r="E40" s="64"/>
      <c r="F40" s="65"/>
      <c r="G40" s="66"/>
      <c r="H40" s="61" t="str">
        <f>IF(G67&lt;=0,"NEGATIVE PAYOUT","")</f>
        <v/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s="12" customFormat="1" ht="20.65" customHeight="1" x14ac:dyDescent="0.2">
      <c r="A41" s="62"/>
      <c r="B41" s="68" t="str">
        <f>IF(A41="","",VLOOKUP(A41,$I$109:$L$138,2))</f>
        <v/>
      </c>
      <c r="C41" s="239"/>
      <c r="D41" s="239"/>
      <c r="E41" s="64"/>
      <c r="F41" s="65"/>
      <c r="G41" s="66"/>
      <c r="H41" s="67" t="str">
        <f>IF(PIFMonth8="","",I41)</f>
        <v/>
      </c>
      <c r="I41" s="4" t="str">
        <f>IF(_PIF8&gt;J41,"*","")</f>
        <v/>
      </c>
      <c r="J41" s="4">
        <f>(PIFMonth8*Term)/(((Interest/100)*(Term/12))+1)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s="12" customFormat="1" ht="20.65" customHeight="1" x14ac:dyDescent="0.2">
      <c r="A42" s="62"/>
      <c r="B42" s="68"/>
      <c r="C42" s="246"/>
      <c r="D42" s="246"/>
      <c r="E42" s="64"/>
      <c r="F42" s="65"/>
      <c r="G42" s="66"/>
      <c r="H42" s="6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s="12" customFormat="1" ht="20.65" customHeight="1" x14ac:dyDescent="0.2">
      <c r="A43" s="62"/>
      <c r="B43" s="68"/>
      <c r="C43" s="247"/>
      <c r="D43" s="248"/>
      <c r="E43" s="64"/>
      <c r="F43" s="65"/>
      <c r="G43" s="66"/>
      <c r="H43" s="6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s="12" customFormat="1" ht="21" customHeight="1" x14ac:dyDescent="0.2">
      <c r="A44" s="62"/>
      <c r="B44" s="75" t="str">
        <f>IF(A44="","",VLOOKUP(A44,$I$109:$L$138,2))</f>
        <v/>
      </c>
      <c r="C44" s="247"/>
      <c r="D44" s="248"/>
      <c r="E44" s="64"/>
      <c r="F44" s="65"/>
      <c r="G44" s="66"/>
      <c r="H44" s="67" t="str">
        <f>IF(PIFMonth9="","",I44)</f>
        <v/>
      </c>
      <c r="I44" s="4" t="str">
        <f>IF(_PIF9&gt;J44,"*","")</f>
        <v/>
      </c>
      <c r="J44" s="4">
        <f>(PIFMonth9*Term)/(((Interest/100)*(Term/12))+1)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s="12" customFormat="1" ht="21" customHeight="1" x14ac:dyDescent="0.2">
      <c r="A45" s="62"/>
      <c r="B45" s="75"/>
      <c r="C45" s="249"/>
      <c r="D45" s="250"/>
      <c r="E45" s="64"/>
      <c r="F45" s="65"/>
      <c r="G45" s="66"/>
      <c r="H45" s="6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s="12" customFormat="1" ht="21" customHeight="1" x14ac:dyDescent="0.2">
      <c r="A46" s="62"/>
      <c r="B46" s="75"/>
      <c r="C46" s="251"/>
      <c r="D46" s="251"/>
      <c r="E46" s="64"/>
      <c r="F46" s="65"/>
      <c r="G46" s="66"/>
      <c r="H46" s="6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s="12" customFormat="1" ht="20.65" customHeight="1" x14ac:dyDescent="0.2">
      <c r="A47" s="62"/>
      <c r="B47" s="75" t="str">
        <f>IF(A47="","",VLOOKUP(A47,$I$109:$L$138,2))</f>
        <v/>
      </c>
      <c r="C47" s="239"/>
      <c r="D47" s="239"/>
      <c r="E47" s="64"/>
      <c r="F47" s="65"/>
      <c r="G47" s="66"/>
      <c r="H47" s="67" t="str">
        <f>IF(PIFMonth10="","",I47)</f>
        <v/>
      </c>
      <c r="I47" s="4" t="str">
        <f>IF(_PIF10&gt;J47,"*","")</f>
        <v/>
      </c>
      <c r="J47" s="4">
        <f>(PIFMonth10*Term)/(((Interest/100)*(Term/12))+1)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s="12" customFormat="1" ht="15" customHeight="1" x14ac:dyDescent="0.2">
      <c r="A48" s="76"/>
      <c r="B48" s="77" t="str">
        <f>IF(A48="","",VLOOKUP(A48,$I$109:$L$138,2))</f>
        <v/>
      </c>
      <c r="C48" s="239"/>
      <c r="D48" s="239"/>
      <c r="E48" s="78"/>
      <c r="F48" s="79"/>
      <c r="G48" s="80"/>
      <c r="H48" s="67" t="str">
        <f>IF(PIFMonth11="","",I48)</f>
        <v/>
      </c>
      <c r="I48" s="4" t="str">
        <f>IF(_PIF11&gt;J48,"*","")</f>
        <v/>
      </c>
      <c r="J48" s="4">
        <f>(PIFMonth11*Term)/(((Interest/100)*(Term/12))+1)</f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s="12" customFormat="1" ht="13.5" customHeight="1" thickBot="1" x14ac:dyDescent="0.25">
      <c r="A49" s="227" t="s">
        <v>42</v>
      </c>
      <c r="B49" s="228"/>
      <c r="C49" s="228"/>
      <c r="D49" s="228"/>
      <c r="E49" s="81">
        <f>SUM(E33:E48)</f>
        <v>0</v>
      </c>
      <c r="F49" s="13"/>
      <c r="G49" s="82">
        <f>SUM(G33:G48)</f>
        <v>1764.2899999999991</v>
      </c>
      <c r="H49" s="67" t="str">
        <f>I49</f>
        <v>*</v>
      </c>
      <c r="I49" s="4" t="str">
        <f>IF(PIFTotal&gt;J49,"*","")</f>
        <v>*</v>
      </c>
      <c r="J49" s="4">
        <f>(PIFMonthTotal*Term)/(((Interest/100)*(Term/12))+1)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s="12" customFormat="1" ht="3" customHeight="1" thickTop="1" x14ac:dyDescent="0.2">
      <c r="A50" s="222"/>
      <c r="B50" s="223"/>
      <c r="C50" s="223"/>
      <c r="D50" s="223"/>
      <c r="E50" s="54"/>
      <c r="F50" s="54"/>
      <c r="G50" s="83"/>
      <c r="H50" s="1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s="12" customFormat="1" ht="13.5" customHeight="1" thickBot="1" x14ac:dyDescent="0.25">
      <c r="A51" s="229" t="s">
        <v>43</v>
      </c>
      <c r="B51" s="230"/>
      <c r="C51" s="230"/>
      <c r="D51" s="230"/>
      <c r="E51" s="84">
        <f>ROUND(max-custDuct+PIFMonthTotal,2)</f>
        <v>119.41</v>
      </c>
      <c r="F51" s="85"/>
      <c r="G51" s="83"/>
      <c r="H51" s="1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s="12" customFormat="1" ht="3" customHeight="1" thickTop="1" x14ac:dyDescent="0.2">
      <c r="A52" s="86"/>
      <c r="B52" s="1"/>
      <c r="C52" s="1"/>
      <c r="D52" s="1"/>
      <c r="E52" s="47"/>
      <c r="F52" s="85"/>
      <c r="G52" s="83"/>
      <c r="H52" s="1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s="12" customFormat="1" ht="13.5" customHeight="1" x14ac:dyDescent="0.2">
      <c r="A53" s="220" t="s">
        <v>44</v>
      </c>
      <c r="B53" s="221"/>
      <c r="C53" s="87"/>
      <c r="D53" s="9"/>
      <c r="E53" s="88"/>
      <c r="F53" s="39"/>
      <c r="G53" s="89"/>
      <c r="H53" s="39"/>
      <c r="I53" s="4">
        <f>(J53*Term)/(((Interest/100)*(Term/12))+1)</f>
        <v>9185.9908636067012</v>
      </c>
      <c r="J53" s="4">
        <f>Qualified-Yuran-_0801-_0201</f>
        <v>117.3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s="12" customFormat="1" ht="3" customHeight="1" x14ac:dyDescent="0.2">
      <c r="A54" s="222"/>
      <c r="B54" s="223"/>
      <c r="C54" s="1"/>
      <c r="D54" s="54"/>
      <c r="E54" s="47"/>
      <c r="F54" s="14"/>
      <c r="G54" s="83"/>
      <c r="H54" s="1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s="12" customFormat="1" ht="13.5" customHeight="1" x14ac:dyDescent="0.2">
      <c r="A55" s="14"/>
      <c r="B55" s="15" t="s">
        <v>45</v>
      </c>
      <c r="C55" s="90">
        <v>8100</v>
      </c>
      <c r="D55" s="91" t="str">
        <f>IF(J55&gt;J57,"           ("&amp;maxTimes&amp;"x Limit : $"&amp;maxLoan&amp;")","           (Max. Qualified : $"&amp;maxLoan&amp;")")</f>
        <v xml:space="preserve">           (Max. Qualified : $8300)</v>
      </c>
      <c r="E55" s="14"/>
      <c r="F55" s="92" t="s">
        <v>46</v>
      </c>
      <c r="G55" s="93">
        <v>1</v>
      </c>
      <c r="H55" s="14"/>
      <c r="I55" s="94">
        <f>IF(J55&gt;D109,D109,IF(J55&gt;J57,J57,J55))</f>
        <v>8300</v>
      </c>
      <c r="J55" s="94">
        <f>ROUNDDOWN(K55,-2)</f>
        <v>8300</v>
      </c>
      <c r="K55" s="4">
        <f>IF(L55&lt;=0,0,(L55*Term)/(((Interest/100)*(Term/12))+1))</f>
        <v>8379.3778551229061</v>
      </c>
      <c r="L55" s="4">
        <f>IF(I53&gt;20000,IF(I53&lt;100000,ROUNDDOWN(Qualified-J71-10,0),ROUNDDOWN(Qualified-J71-20,0)),IF(I53&gt;6000,ROUNDDOWN(Qualified-J71-10,0),ROUNDDOWN(Qualified-J71-5,0)))</f>
        <v>107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s="12" customFormat="1" ht="3" customHeight="1" x14ac:dyDescent="0.2">
      <c r="A56" s="14"/>
      <c r="B56" s="30"/>
      <c r="C56" s="95"/>
      <c r="D56" s="14"/>
      <c r="E56" s="14"/>
      <c r="F56" s="14"/>
      <c r="G56" s="83"/>
      <c r="H56" s="1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s="12" customFormat="1" ht="13.5" customHeight="1" x14ac:dyDescent="0.2">
      <c r="A57" s="14"/>
      <c r="B57" s="15" t="s">
        <v>47</v>
      </c>
      <c r="C57" s="96">
        <v>6.99</v>
      </c>
      <c r="D57" s="97">
        <f>((1+RATE(Term,-loanInst,LA,0,0))^12)-1</f>
        <v>0.12007058188739705</v>
      </c>
      <c r="E57" s="14"/>
      <c r="F57" s="15" t="s">
        <v>48</v>
      </c>
      <c r="G57" s="98">
        <f>LA*disburse</f>
        <v>8100</v>
      </c>
      <c r="H57" s="99" t="s">
        <v>49</v>
      </c>
      <c r="I57" s="4"/>
      <c r="J57" s="94">
        <f>ROUNDDOWN(custFixedTotal*maxTimes,-2)</f>
        <v>135500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s="12" customFormat="1" ht="3" customHeight="1" x14ac:dyDescent="0.2">
      <c r="A58" s="14"/>
      <c r="B58" s="30"/>
      <c r="C58" s="100"/>
      <c r="D58" s="54"/>
      <c r="E58" s="14"/>
      <c r="F58" s="30"/>
      <c r="G58" s="83"/>
      <c r="H58" s="1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s="12" customFormat="1" ht="13.5" customHeight="1" x14ac:dyDescent="0.2">
      <c r="A59" s="14"/>
      <c r="B59" s="15" t="s">
        <v>50</v>
      </c>
      <c r="C59" s="101">
        <v>144</v>
      </c>
      <c r="D59" s="97">
        <f>(((loanInst*Term-LA)/(Term/12))/LA)</f>
        <v>6.9896296296296317E-2</v>
      </c>
      <c r="E59" s="14"/>
      <c r="F59" s="15" t="s">
        <v>51</v>
      </c>
      <c r="G59" s="98">
        <f>PIFTotal</f>
        <v>1764.2899999999991</v>
      </c>
      <c r="H59" s="99" t="s">
        <v>49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s="12" customFormat="1" ht="3" customHeight="1" x14ac:dyDescent="0.2">
      <c r="A60" s="14"/>
      <c r="B60" s="1"/>
      <c r="C60" s="102"/>
      <c r="D60" s="14"/>
      <c r="E60" s="14"/>
      <c r="F60" s="30"/>
      <c r="G60" s="103"/>
      <c r="H60" s="1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s="12" customFormat="1" ht="13.5" customHeight="1" x14ac:dyDescent="0.2">
      <c r="A61" s="14"/>
      <c r="B61" s="1"/>
      <c r="C61" s="14"/>
      <c r="D61" s="14"/>
      <c r="E61" s="14"/>
      <c r="F61" s="15" t="s">
        <v>52</v>
      </c>
      <c r="G61" s="104">
        <v>0</v>
      </c>
      <c r="H61" s="99" t="s">
        <v>49</v>
      </c>
      <c r="I61" s="105">
        <f ca="1">K61</f>
        <v>180</v>
      </c>
      <c r="J61" s="4"/>
      <c r="K61" s="4">
        <f ca="1">IF(L61&gt;D110,D110,L61)</f>
        <v>180</v>
      </c>
      <c r="L61" s="4">
        <f ca="1">IF(custAgeNext="-",120,(56-custAgeNext)*12)</f>
        <v>216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s="12" customFormat="1" ht="3" customHeight="1" x14ac:dyDescent="0.2">
      <c r="A62" s="14"/>
      <c r="B62" s="1"/>
      <c r="C62" s="106"/>
      <c r="D62" s="14"/>
      <c r="E62" s="14"/>
      <c r="F62" s="30"/>
      <c r="G62" s="83"/>
      <c r="H62" s="1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s="12" customFormat="1" ht="13.5" customHeight="1" x14ac:dyDescent="0.2">
      <c r="A63" s="14"/>
      <c r="B63" s="107" t="s">
        <v>53</v>
      </c>
      <c r="C63" s="108" t="s">
        <v>54</v>
      </c>
      <c r="D63" s="14"/>
      <c r="E63" s="14"/>
      <c r="F63" s="15" t="s">
        <v>55</v>
      </c>
      <c r="G63" s="104">
        <v>0</v>
      </c>
      <c r="H63" s="99" t="s">
        <v>49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s="12" customFormat="1" ht="3" customHeight="1" x14ac:dyDescent="0.2">
      <c r="A64" s="14"/>
      <c r="B64" s="1"/>
      <c r="C64" s="14"/>
      <c r="D64" s="14"/>
      <c r="E64" s="14"/>
      <c r="F64" s="30"/>
      <c r="G64" s="83"/>
      <c r="H64" s="1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s="12" customFormat="1" ht="13.5" customHeight="1" x14ac:dyDescent="0.2">
      <c r="A65" s="30"/>
      <c r="B65" s="107" t="s">
        <v>56</v>
      </c>
      <c r="C65" s="109">
        <f>ROUND(loanInstref,2)</f>
        <v>103.43</v>
      </c>
      <c r="D65" s="110"/>
      <c r="E65" s="231" t="s">
        <v>165</v>
      </c>
      <c r="F65" s="232"/>
      <c r="G65" s="104">
        <f>LA*1.6%</f>
        <v>129.6</v>
      </c>
      <c r="H65" s="99" t="s">
        <v>49</v>
      </c>
      <c r="I65" s="4">
        <f>J65</f>
        <v>103.4325</v>
      </c>
      <c r="J65" s="4">
        <f>((LA*(Interest/100)*(Term/12))+LA)/Term</f>
        <v>103.4325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s="12" customFormat="1" ht="3" customHeight="1" x14ac:dyDescent="0.25">
      <c r="A66" s="14"/>
      <c r="B66" s="1"/>
      <c r="C66" s="111"/>
      <c r="D66" s="110"/>
      <c r="E66" s="14"/>
      <c r="F66" s="30"/>
      <c r="G66" s="83"/>
      <c r="H66" s="1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s="12" customFormat="1" ht="13.5" customHeight="1" thickBot="1" x14ac:dyDescent="0.25">
      <c r="A67" s="14"/>
      <c r="B67" s="112" t="s">
        <v>57</v>
      </c>
      <c r="C67" s="113">
        <f>SUM(D65:D71)</f>
        <v>2.11</v>
      </c>
      <c r="D67" s="110"/>
      <c r="E67" s="14"/>
      <c r="F67" s="15" t="s">
        <v>58</v>
      </c>
      <c r="G67" s="114">
        <f>Receivable-PIFTotal-_fee1-_fee2-_fee3</f>
        <v>6206.1100000000006</v>
      </c>
      <c r="H67" s="115"/>
      <c r="I67" s="4">
        <f>IF(LEFT(B67,4)="0101",5,IF(LEFT(B67,4)="0801",5,IF(LEFT(B67,4)="0501",IF(LA&lt;=6000,5,10),IF(LEFT(B67,4)="0502",IF(LA&lt;=6000,5,10),IF(LEFT(B67,4)="0503",10,IF(LEFT(B67,4)="0504",10,IF(LEFT(B67,4)="0505",20,0)))))))</f>
        <v>0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s="12" customFormat="1" ht="3" customHeight="1" thickTop="1" x14ac:dyDescent="0.2">
      <c r="A68" s="14"/>
      <c r="B68" s="30"/>
      <c r="C68" s="83"/>
      <c r="D68" s="110"/>
      <c r="E68" s="30"/>
      <c r="F68" s="14"/>
      <c r="G68" s="83"/>
      <c r="H68" s="1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s="12" customFormat="1" ht="14.25" customHeight="1" x14ac:dyDescent="0.2">
      <c r="A69" s="14"/>
      <c r="B69" s="116"/>
      <c r="C69" s="117">
        <v>0</v>
      </c>
      <c r="D69" s="118">
        <f>ROUND(SUM(D65:D67,C65)/98*2,2)</f>
        <v>2.11</v>
      </c>
      <c r="E69" s="14"/>
      <c r="F69" s="14"/>
      <c r="G69" s="83"/>
      <c r="H69" s="14"/>
      <c r="I69" s="4">
        <f>IF(LEFT(B69,4)="0101",5,IF(LEFT(B69,4)="0801",5,IF(LEFT(B69,4)="0501",IF(LA&lt;=6000,5,10),IF(LEFT(B69,4)="0502",IF(LA&lt;=6000,5,10),IF(LEFT(B69,4)="0503",10,IF(LEFT(B69,4)="0504",10,IF(LEFT(B69,4)="0505",20,0)))))))</f>
        <v>0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s="12" customFormat="1" ht="3" customHeight="1" x14ac:dyDescent="0.2">
      <c r="A70" s="14"/>
      <c r="B70" s="30"/>
      <c r="C70" s="83"/>
      <c r="D70" s="110"/>
      <c r="E70" s="14"/>
      <c r="F70" s="14"/>
      <c r="G70" s="14"/>
      <c r="H70" s="1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s="12" customFormat="1" ht="13.5" customHeight="1" x14ac:dyDescent="0.2">
      <c r="A71" s="14"/>
      <c r="B71" s="107"/>
      <c r="C71" s="119">
        <v>0</v>
      </c>
      <c r="D71" s="120"/>
      <c r="E71" s="121"/>
      <c r="F71" s="14"/>
      <c r="G71" s="14"/>
      <c r="H71" s="122"/>
      <c r="I71" s="4">
        <f>IF(LEFT(B71,4)="0101",5,IF(LEFT(B71,4)="0801",5,IF(LEFT(B71,4)="0501",IF(LA&lt;=6000,5,10),IF(LEFT(B71,4)="0502",IF(LA&lt;=6000,5,10),IF(LEFT(B71,4)="0503",10,IF(LEFT(B71,4)="0504",10,IF(LEFT(B71,4)="0505",20,0)))))))</f>
        <v>0</v>
      </c>
      <c r="J71" s="4">
        <f>Yuran+_0801</f>
        <v>2.11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s="12" customFormat="1" ht="3" customHeight="1" x14ac:dyDescent="0.2">
      <c r="A72" s="14"/>
      <c r="B72" s="30"/>
      <c r="C72" s="83"/>
      <c r="D72" s="14"/>
      <c r="E72" s="14"/>
      <c r="F72" s="14"/>
      <c r="G72" s="14"/>
      <c r="H72" s="1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s="12" customFormat="1" ht="13.5" customHeight="1" x14ac:dyDescent="0.2">
      <c r="A73" s="14"/>
      <c r="B73" s="123"/>
      <c r="C73" s="119">
        <v>0</v>
      </c>
      <c r="D73" s="124"/>
      <c r="E73" s="15" t="s">
        <v>59</v>
      </c>
      <c r="F73" s="125">
        <v>0</v>
      </c>
      <c r="G73" s="126"/>
      <c r="H73" s="14"/>
      <c r="I73" s="4">
        <f>IF(LEFT(B73,4)="0101",5,IF(LEFT(B73,4)="0801",5,IF(LEFT(B73,4)="0501",IF(LA&lt;=6000,10,10),IF(LEFT(B73,4)="0502",IF(LA&lt;=6000,10,10),IF(LEFT(B73,4)="0503",10,IF(LEFT(B73,4)="0504",10,IF(LEFT(B73,4)="0505",20,0)))))))</f>
        <v>0</v>
      </c>
      <c r="J73" s="4">
        <f>loanInst+Yuran+_0201+_0801</f>
        <v>105.54</v>
      </c>
      <c r="K73" s="9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s="12" customFormat="1" ht="3" customHeight="1" x14ac:dyDescent="0.2">
      <c r="A74" s="14"/>
      <c r="B74" s="30"/>
      <c r="C74" s="83"/>
      <c r="D74" s="14"/>
      <c r="E74" s="14"/>
      <c r="F74" s="30"/>
      <c r="G74" s="14"/>
      <c r="H74" s="1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s="12" customFormat="1" ht="13.5" customHeight="1" thickBot="1" x14ac:dyDescent="0.25">
      <c r="A75" s="14"/>
      <c r="B75" s="15" t="s">
        <v>60</v>
      </c>
      <c r="C75" s="127">
        <f>SUM(C65:C73)</f>
        <v>105.54</v>
      </c>
      <c r="D75" s="14"/>
      <c r="E75" s="128" t="str">
        <f>IF(LA=0,"",IF((InstTotal*0.6)&lt;=E26," &lt;&lt;&lt; Total Instalment : "&amp;ROUND((InstTotal+custDuct-PIFMonthTotal)/(custFixed+adjust)*100,2)&amp;"%","&lt;&lt;&lt; Alert! Total more than 60%"))</f>
        <v xml:space="preserve"> &lt;&lt;&lt; Total Instalment : 59.69%</v>
      </c>
      <c r="F75" s="30"/>
      <c r="G75" s="30"/>
      <c r="H75" s="1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s="12" customFormat="1" ht="3" customHeight="1" thickTop="1" x14ac:dyDescent="0.2">
      <c r="A76" s="14"/>
      <c r="B76" s="30"/>
      <c r="C76" s="83"/>
      <c r="D76" s="14"/>
      <c r="E76" s="14"/>
      <c r="F76" s="14"/>
      <c r="G76" s="14"/>
      <c r="H76" s="1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s="12" customFormat="1" ht="9" customHeight="1" x14ac:dyDescent="0.2">
      <c r="A77" s="14"/>
      <c r="B77" s="30"/>
      <c r="C77" s="83"/>
      <c r="D77" s="14"/>
      <c r="E77" s="14"/>
      <c r="F77" s="14"/>
      <c r="G77" s="14"/>
      <c r="H77" s="1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s="12" customFormat="1" ht="13.5" customHeight="1" thickBot="1" x14ac:dyDescent="0.25">
      <c r="A78" s="14"/>
      <c r="B78" s="15" t="s">
        <v>61</v>
      </c>
      <c r="C78" s="129">
        <f>custFixedTotal-custDuct+PIFMonthTotal-InstTotal</f>
        <v>1821.8400000000001</v>
      </c>
      <c r="D78" s="14"/>
      <c r="E78" s="130"/>
      <c r="F78" s="15" t="s">
        <v>62</v>
      </c>
      <c r="G78" s="131">
        <f>custFixedTotal-custDuct</f>
        <v>1927.38</v>
      </c>
      <c r="H78" s="14" t="s">
        <v>63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s="12" customFormat="1" ht="3" customHeight="1" thickTop="1" x14ac:dyDescent="0.2">
      <c r="A79" s="214"/>
      <c r="B79" s="215"/>
      <c r="C79" s="1"/>
      <c r="D79" s="22"/>
      <c r="E79" s="14"/>
      <c r="F79" s="14"/>
      <c r="G79" s="30"/>
      <c r="H79" s="1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s="12" customFormat="1" ht="13.5" customHeight="1" x14ac:dyDescent="0.2">
      <c r="A80" s="233" t="s">
        <v>64</v>
      </c>
      <c r="B80" s="221"/>
      <c r="C80" s="7"/>
      <c r="D80" s="9"/>
      <c r="E80" s="39"/>
      <c r="F80" s="39"/>
      <c r="G80" s="41"/>
      <c r="H80" s="39"/>
      <c r="I80" s="4">
        <f>LEN(B65)</f>
        <v>20</v>
      </c>
      <c r="J80" s="4">
        <f ca="1">YEAR(C98)</f>
        <v>2025</v>
      </c>
      <c r="K80" s="4">
        <f ca="1">(J80-2000)*(12)</f>
        <v>300</v>
      </c>
      <c r="L80" s="4"/>
      <c r="M80" s="133">
        <f ca="1">IF(I81+J81&gt;12,1,0)</f>
        <v>0</v>
      </c>
      <c r="N80" s="4">
        <f ca="1">IF(J81+I81&gt;12,J81+I81-12,J81+I81)</f>
        <v>12</v>
      </c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s="12" customFormat="1" ht="13.5" customHeight="1" x14ac:dyDescent="0.2">
      <c r="A81" s="13"/>
      <c r="B81" s="13"/>
      <c r="C81" s="134" t="str">
        <f>IF(LEFT(D111,1)="M","Kod Potongan","Deduction Code")</f>
        <v>Deduction Code</v>
      </c>
      <c r="D81" s="135" t="str">
        <f>IF(LEFT(D111,1)="M","Bulan Mula","Starting Month")</f>
        <v>Starting Month</v>
      </c>
      <c r="E81" s="16" t="str">
        <f>IF(LEFT(D111,1)="M","Bulan Akhir","Ending Month")</f>
        <v>Ending Month</v>
      </c>
      <c r="F81" s="136" t="str">
        <f>IF(LEFT(D111,1)="M","Amaun Pokok (RM)","Principle Amount (RM)")</f>
        <v>Principle Amount (RM)</v>
      </c>
      <c r="G81" s="30"/>
      <c r="H81" s="137"/>
      <c r="I81" s="4">
        <f>IF(jobCode="C",2,2)</f>
        <v>2</v>
      </c>
      <c r="J81" s="4">
        <f ca="1">MONTH(C98)</f>
        <v>10</v>
      </c>
      <c r="K81" s="4">
        <f ca="1">I81+J81+K80</f>
        <v>312</v>
      </c>
      <c r="L81" s="4">
        <f ca="1">K81+Term</f>
        <v>456</v>
      </c>
      <c r="M81" s="133">
        <f ca="1">L81/12</f>
        <v>38</v>
      </c>
      <c r="N81" s="4">
        <f ca="1">J80+M80</f>
        <v>2025</v>
      </c>
      <c r="O81" s="138" t="str">
        <f ca="1">IF(N80=0,"12"&amp;(N81-1),IF(N80&lt;10,"0"&amp;N80&amp;N81,N80&amp;N81))</f>
        <v>122025</v>
      </c>
      <c r="P81" s="4"/>
      <c r="Q81" s="4"/>
      <c r="R81" s="4"/>
      <c r="S81" s="4"/>
      <c r="T81" s="4"/>
      <c r="U81" s="4"/>
      <c r="V81" s="4"/>
      <c r="W81" s="4"/>
      <c r="X81" s="4"/>
    </row>
    <row r="82" spans="1:24" s="12" customFormat="1" x14ac:dyDescent="0.2">
      <c r="A82" s="14"/>
      <c r="B82" s="14"/>
      <c r="C82" s="139" t="s">
        <v>65</v>
      </c>
      <c r="D82" s="140" t="str">
        <f ca="1">IF(C82="","",O81)</f>
        <v>122025</v>
      </c>
      <c r="E82" s="141" t="str">
        <f ca="1">IF(C82="","",IF(C82="0101",$O$84,IF(OR(C82="0503",C82="0524",),$M$88,IF(C82="0504",$O$88,IF(C82="0505",$O$88,IF(OR(C82="0501",C82="0523"),$M$88,IF(C82="0502","999999",$O$84)))))))</f>
        <v>112037</v>
      </c>
      <c r="F82" s="142">
        <f>Yuran</f>
        <v>2.11</v>
      </c>
      <c r="G82" s="234" t="str">
        <f>IF(LEFT(D111,1)="M","Had Kelayakan :                 ","Deduction Limit :          ")</f>
        <v xml:space="preserve">Deduction Limit :          </v>
      </c>
      <c r="H82" s="235"/>
      <c r="I82" s="4" t="str">
        <f>IF(Yuran=0,"",LEFT(B67,4))</f>
        <v xml:space="preserve">BPA </v>
      </c>
      <c r="J82" s="143">
        <f>Yuran</f>
        <v>2.11</v>
      </c>
      <c r="K82" s="4"/>
      <c r="L82" s="4"/>
      <c r="M82" s="144">
        <f ca="1">ROUNDDOWN(M81,0)</f>
        <v>38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s="12" customFormat="1" x14ac:dyDescent="0.2">
      <c r="A83" s="14"/>
      <c r="B83" s="14"/>
      <c r="C83" s="139">
        <v>4101</v>
      </c>
      <c r="D83" s="140" t="str">
        <f ca="1">IF(C83="","",O81)</f>
        <v>122025</v>
      </c>
      <c r="E83" s="145" t="str">
        <f ca="1">IF(C83="","",IF(C83="0101",$O$84,IF(OR(C83="0503",C83="0524"),$M$88,IF(C83="0504",$O$88,IF(C83="0505",$O$88,IF(OR(C83="0501",C83="0523"),$M$88,IF(C83="0502","999999",$O$84)))))))</f>
        <v>112037</v>
      </c>
      <c r="F83" s="142">
        <f>loanInst</f>
        <v>103.43</v>
      </c>
      <c r="G83" s="30"/>
      <c r="H83" s="146" t="str">
        <f>ROUND(I88,2)&amp;"%"</f>
        <v>59.69%</v>
      </c>
      <c r="I83" s="4" t="str">
        <f>IF(C69=0,"",LEFT(B69,4))</f>
        <v/>
      </c>
      <c r="J83" s="143">
        <f>_0801</f>
        <v>0</v>
      </c>
      <c r="K83" s="4"/>
      <c r="L83" s="4"/>
      <c r="M83" s="147">
        <f ca="1">M81-M82</f>
        <v>0</v>
      </c>
      <c r="N83" s="148">
        <f ca="1">IF(M84&lt;=0,12,ROUND(M84,0))</f>
        <v>11</v>
      </c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s="12" customFormat="1" x14ac:dyDescent="0.2">
      <c r="A84" s="14"/>
      <c r="B84" s="14"/>
      <c r="C84" s="139"/>
      <c r="D84" s="140"/>
      <c r="E84" s="145"/>
      <c r="F84" s="149"/>
      <c r="G84" s="30"/>
      <c r="H84" s="22"/>
      <c r="I84" s="4" t="str">
        <f>IF(_0201=0,"",LEFT(B71,4))</f>
        <v/>
      </c>
      <c r="J84" s="143">
        <f>_0201</f>
        <v>0</v>
      </c>
      <c r="K84" s="4"/>
      <c r="L84" s="4"/>
      <c r="M84" s="148" t="str">
        <f ca="1">IF(M83=0,"11",M83*12-1)</f>
        <v>11</v>
      </c>
      <c r="N84" s="148">
        <f ca="1">IF(N83=12,2000+M82-1,IF(M83=0,2000+M82-1,2000+M82))</f>
        <v>2037</v>
      </c>
      <c r="O84" s="138" t="str">
        <f ca="1">IF(N83=0,"12"&amp;(N84-1),IF(N83&lt;10,"0"&amp;N83&amp;N84,N83&amp;N84))</f>
        <v>112037</v>
      </c>
      <c r="P84" s="4"/>
      <c r="Q84" s="4"/>
      <c r="R84" s="4"/>
      <c r="S84" s="4"/>
      <c r="T84" s="4"/>
      <c r="U84" s="4"/>
      <c r="V84" s="4"/>
      <c r="W84" s="4"/>
      <c r="X84" s="4"/>
    </row>
    <row r="85" spans="1:24" s="12" customFormat="1" x14ac:dyDescent="0.2">
      <c r="A85" s="14"/>
      <c r="B85" s="14"/>
      <c r="C85" s="139"/>
      <c r="D85" s="140"/>
      <c r="E85" s="141"/>
      <c r="F85" s="142"/>
      <c r="G85" s="236" t="str">
        <f>IF(LEFT(D111,1)="M","Umur Tamat Peminjaman :","Age at Financing Maturity :")</f>
        <v>Age at Financing Maturity :</v>
      </c>
      <c r="H85" s="235"/>
      <c r="I85" s="4" t="str">
        <f>IF(C73=0,"",LEFT(B73,4))</f>
        <v/>
      </c>
      <c r="J85" s="143">
        <f>insuran</f>
        <v>0</v>
      </c>
      <c r="K85" s="4"/>
      <c r="L85" s="4"/>
      <c r="M85" s="14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s="12" customFormat="1" x14ac:dyDescent="0.2">
      <c r="A86" s="14"/>
      <c r="B86" s="14" t="str">
        <f>IF(B85="","",IF(B85&lt;&gt;J85,IF(B85&lt;&gt;J86,"",""),IF(J86="","",J86)))</f>
        <v/>
      </c>
      <c r="C86" s="150"/>
      <c r="D86" s="140"/>
      <c r="E86" s="141"/>
      <c r="F86" s="151"/>
      <c r="G86" s="237" t="str">
        <f ca="1">IF(custDOB="","",IF(LEFT(D111,1)="M",IF(J6=0,J4&amp;"tahun",J4&amp;" tahun "&amp;ROUND(J6,0)&amp;" bulan"),IF(J6=0,J4&amp;" years old",J4&amp;" years "&amp;ROUND(J6,0)&amp;" months ")))</f>
        <v xml:space="preserve">49 years 8 months </v>
      </c>
      <c r="H86" s="238"/>
      <c r="I86" s="152" t="str">
        <f>IF(loanInst="0","",MID(B65,13,LEFT(I80-12-3)))</f>
        <v>(4101</v>
      </c>
      <c r="J86" s="143">
        <f>loanInst</f>
        <v>103.43</v>
      </c>
      <c r="K86" s="4"/>
      <c r="L86" s="4">
        <f ca="1">K81+30-1</f>
        <v>341</v>
      </c>
      <c r="M86" s="153">
        <f ca="1">M87-ROUNDDOWN(M87,0)</f>
        <v>0.41666666666666785</v>
      </c>
      <c r="N86" s="4">
        <f ca="1">K81+60-1</f>
        <v>371</v>
      </c>
      <c r="O86" s="153">
        <f ca="1">O87-ROUNDDOWN(O87,0)</f>
        <v>0.91666666666666785</v>
      </c>
      <c r="P86" s="4"/>
      <c r="Q86" s="4"/>
      <c r="R86" s="4"/>
      <c r="S86" s="4"/>
      <c r="T86" s="4"/>
      <c r="U86" s="4"/>
      <c r="V86" s="4"/>
      <c r="W86" s="4"/>
      <c r="X86" s="4"/>
    </row>
    <row r="87" spans="1:24" s="12" customFormat="1" ht="13.5" customHeight="1" x14ac:dyDescent="0.2">
      <c r="A87" s="14"/>
      <c r="B87" s="132"/>
      <c r="C87" s="14"/>
      <c r="D87" s="132"/>
      <c r="E87" s="154" t="str">
        <f>IF(LEFT(D111,1)="M","Jumlah :","Total :")</f>
        <v>Total :</v>
      </c>
      <c r="F87" s="155">
        <f>SUM(F82:F86)</f>
        <v>105.54</v>
      </c>
      <c r="G87" s="226"/>
      <c r="H87" s="226"/>
      <c r="I87" s="4"/>
      <c r="J87" s="4"/>
      <c r="K87" s="4"/>
      <c r="L87" s="4">
        <f ca="1">ROUND(M86*12,0)</f>
        <v>5</v>
      </c>
      <c r="M87" s="156">
        <f ca="1">L86/12</f>
        <v>28.416666666666668</v>
      </c>
      <c r="N87" s="4">
        <f ca="1">ROUND(O86*12,0)</f>
        <v>11</v>
      </c>
      <c r="O87" s="152">
        <f ca="1">N86/12</f>
        <v>30.916666666666668</v>
      </c>
      <c r="P87" s="4"/>
      <c r="Q87" s="4"/>
      <c r="R87" s="4"/>
      <c r="S87" s="4"/>
      <c r="T87" s="4"/>
      <c r="U87" s="4"/>
      <c r="V87" s="4"/>
      <c r="W87" s="4"/>
      <c r="X87" s="4"/>
    </row>
    <row r="88" spans="1:24" s="12" customFormat="1" ht="13.5" customHeight="1" x14ac:dyDescent="0.2">
      <c r="A88" s="220" t="s">
        <v>66</v>
      </c>
      <c r="B88" s="221"/>
      <c r="C88" s="221"/>
      <c r="D88" s="221"/>
      <c r="E88" s="39"/>
      <c r="F88" s="39"/>
      <c r="G88" s="39"/>
      <c r="H88" s="39"/>
      <c r="I88" s="4">
        <f>IF(LA&lt;=0,0,((custDuct-PIFMonthTotal+F87)/(custFixed+adjust))*100)</f>
        <v>59.693181089087666</v>
      </c>
      <c r="J88" s="4"/>
      <c r="K88" s="4"/>
      <c r="L88" s="148">
        <f ca="1">2000+ROUNDDOWN(M87,0)</f>
        <v>2028</v>
      </c>
      <c r="M88" s="138" t="str">
        <f ca="1">IF(L87=0,"12"&amp;(L88-1),IF(L87&lt;10,"0"&amp;L87&amp;L88,L87&amp;L88))</f>
        <v>052028</v>
      </c>
      <c r="N88" s="148">
        <f ca="1">2000+ROUNDDOWN(O87,0)</f>
        <v>2030</v>
      </c>
      <c r="O88" s="4" t="str">
        <f ca="1">IF(N87=0,"12"&amp;(N88-1),IF(N87&lt;10,"0"&amp;N87&amp;N88,N87&amp;N88))</f>
        <v>112030</v>
      </c>
      <c r="P88" s="4"/>
      <c r="Q88" s="4"/>
      <c r="R88" s="4"/>
      <c r="S88" s="4"/>
      <c r="T88" s="4"/>
      <c r="U88" s="4"/>
      <c r="V88" s="4"/>
      <c r="W88" s="4"/>
      <c r="X88" s="4"/>
    </row>
    <row r="89" spans="1:24" s="12" customFormat="1" ht="3" customHeight="1" x14ac:dyDescent="0.2">
      <c r="A89" s="222"/>
      <c r="B89" s="223"/>
      <c r="C89" s="132"/>
      <c r="D89" s="14"/>
      <c r="E89" s="14"/>
      <c r="F89" s="14"/>
      <c r="G89" s="14"/>
      <c r="H89" s="1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s="12" customFormat="1" ht="13.5" customHeight="1" x14ac:dyDescent="0.2">
      <c r="A90" s="136" t="s">
        <v>67</v>
      </c>
      <c r="B90" s="157"/>
      <c r="C90" s="158"/>
      <c r="D90" s="158"/>
      <c r="E90" s="158"/>
      <c r="F90" s="159"/>
      <c r="G90" s="160"/>
      <c r="H90" s="160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s="12" customFormat="1" ht="3" customHeight="1" x14ac:dyDescent="0.2">
      <c r="A91" s="214"/>
      <c r="B91" s="215"/>
      <c r="C91" s="132"/>
      <c r="D91" s="14"/>
      <c r="E91" s="14"/>
      <c r="F91" s="14"/>
      <c r="G91" s="161"/>
      <c r="H91" s="1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s="12" customFormat="1" ht="13.5" customHeight="1" x14ac:dyDescent="0.2">
      <c r="A92" s="216"/>
      <c r="B92" s="217"/>
      <c r="C92" s="217"/>
      <c r="D92" s="217"/>
      <c r="E92" s="217"/>
      <c r="F92" s="217"/>
      <c r="G92" s="15"/>
      <c r="H92" s="16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s="12" customFormat="1" ht="3" customHeight="1" x14ac:dyDescent="0.2">
      <c r="A93" s="224"/>
      <c r="B93" s="225"/>
      <c r="C93" s="165"/>
      <c r="D93" s="164"/>
      <c r="E93" s="164"/>
      <c r="F93" s="164"/>
      <c r="G93" s="161"/>
      <c r="H93" s="1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s="12" customFormat="1" ht="13.5" customHeight="1" x14ac:dyDescent="0.2">
      <c r="A94" s="216"/>
      <c r="B94" s="217"/>
      <c r="C94" s="217"/>
      <c r="D94" s="217"/>
      <c r="E94" s="217"/>
      <c r="F94" s="217"/>
      <c r="G94" s="15" t="s">
        <v>68</v>
      </c>
      <c r="H94" s="16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s="12" customFormat="1" ht="3" customHeight="1" x14ac:dyDescent="0.2">
      <c r="A95" s="214"/>
      <c r="B95" s="215"/>
      <c r="C95" s="132"/>
      <c r="D95" s="14"/>
      <c r="E95" s="14"/>
      <c r="F95" s="14"/>
      <c r="G95" s="161"/>
      <c r="H95" s="1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s="12" customFormat="1" ht="13.5" customHeight="1" x14ac:dyDescent="0.2">
      <c r="A96" s="216"/>
      <c r="B96" s="217"/>
      <c r="C96" s="217"/>
      <c r="D96" s="217"/>
      <c r="E96" s="217"/>
      <c r="F96" s="217"/>
      <c r="G96" s="15" t="s">
        <v>69</v>
      </c>
      <c r="H96" s="16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s="12" customFormat="1" ht="13.5" customHeight="1" x14ac:dyDescent="0.2">
      <c r="A97" s="14"/>
      <c r="B97" s="1"/>
      <c r="C97" s="1"/>
      <c r="D97" s="166"/>
      <c r="E97" s="15"/>
      <c r="F97" s="167"/>
      <c r="G97" s="15"/>
      <c r="H97" s="16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s="12" customFormat="1" ht="13.5" customHeight="1" x14ac:dyDescent="0.2">
      <c r="A98" s="161"/>
      <c r="B98" s="15" t="s">
        <v>70</v>
      </c>
      <c r="C98" s="168">
        <f ca="1">TODAY()</f>
        <v>45952</v>
      </c>
      <c r="D98" s="14"/>
      <c r="E98" s="15"/>
      <c r="F98" s="167"/>
      <c r="G98" s="15"/>
      <c r="H98" s="169"/>
      <c r="I98" s="4"/>
      <c r="J98" s="4"/>
      <c r="K98" s="170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s="12" customFormat="1" ht="3" customHeight="1" x14ac:dyDescent="0.2">
      <c r="A99" s="14"/>
      <c r="B99" s="30"/>
      <c r="C99" s="171"/>
      <c r="D99" s="14"/>
      <c r="E99" s="30"/>
      <c r="F99" s="14"/>
      <c r="G99" s="30"/>
      <c r="H99" s="14"/>
      <c r="I99" s="4"/>
      <c r="J99" s="4"/>
      <c r="K99" s="170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s="12" customFormat="1" ht="13.5" customHeight="1" x14ac:dyDescent="0.2">
      <c r="A100" s="161"/>
      <c r="B100" s="15" t="s">
        <v>71</v>
      </c>
      <c r="C100" s="172">
        <v>0</v>
      </c>
      <c r="D100" s="14"/>
      <c r="E100" s="30"/>
      <c r="F100" s="14"/>
      <c r="G100" s="15"/>
      <c r="H100" s="169"/>
      <c r="I100" s="4"/>
      <c r="J100" s="4"/>
      <c r="K100" s="170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s="12" customFormat="1" ht="3" customHeight="1" x14ac:dyDescent="0.2">
      <c r="A101" s="14"/>
      <c r="B101" s="30"/>
      <c r="C101" s="171"/>
      <c r="D101" s="14"/>
      <c r="E101" s="30"/>
      <c r="F101" s="14"/>
      <c r="G101" s="30"/>
      <c r="H101" s="14"/>
      <c r="I101" s="4"/>
      <c r="J101" s="4"/>
      <c r="K101" s="170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3.5" customHeight="1" x14ac:dyDescent="0.2">
      <c r="A102" s="161"/>
      <c r="B102" s="15" t="s">
        <v>72</v>
      </c>
      <c r="C102" s="108"/>
      <c r="D102" s="1"/>
      <c r="E102" s="15" t="s">
        <v>73</v>
      </c>
      <c r="F102" s="162"/>
      <c r="G102" s="15" t="s">
        <v>74</v>
      </c>
      <c r="H102" s="162"/>
    </row>
    <row r="103" spans="1:24" s="12" customFormat="1" ht="3" customHeight="1" x14ac:dyDescent="0.2">
      <c r="A103" s="14"/>
      <c r="B103" s="30"/>
      <c r="C103" s="171"/>
      <c r="D103" s="14"/>
      <c r="E103" s="30"/>
      <c r="F103" s="14"/>
      <c r="G103" s="174"/>
      <c r="H103" s="14"/>
      <c r="I103" s="4"/>
      <c r="J103" s="4"/>
      <c r="K103" s="170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3.5" customHeight="1" x14ac:dyDescent="0.2">
      <c r="A104" s="161"/>
      <c r="B104" s="112" t="s">
        <v>75</v>
      </c>
      <c r="C104" s="108"/>
      <c r="D104" s="1"/>
      <c r="E104" s="15" t="s">
        <v>69</v>
      </c>
      <c r="F104" s="175"/>
      <c r="G104" s="15" t="s">
        <v>69</v>
      </c>
      <c r="H104" s="162"/>
    </row>
    <row r="105" spans="1:24" ht="13.5" customHeight="1" x14ac:dyDescent="0.2">
      <c r="A105" s="161"/>
      <c r="B105" s="15"/>
      <c r="C105" s="100"/>
      <c r="D105" s="1"/>
      <c r="E105" s="1"/>
      <c r="F105" s="1"/>
      <c r="G105" s="15"/>
      <c r="H105" s="169"/>
    </row>
    <row r="106" spans="1:24" x14ac:dyDescent="0.2">
      <c r="A106" s="218" t="s">
        <v>76</v>
      </c>
      <c r="B106" s="218"/>
      <c r="C106" s="218"/>
      <c r="D106" s="218"/>
      <c r="E106" s="218"/>
      <c r="F106" s="218"/>
      <c r="G106" s="218"/>
      <c r="H106" s="218"/>
    </row>
    <row r="107" spans="1:24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176" t="s">
        <v>77</v>
      </c>
    </row>
    <row r="108" spans="1:24" x14ac:dyDescent="0.2">
      <c r="B108" s="5"/>
      <c r="C108" s="177" t="s">
        <v>78</v>
      </c>
      <c r="D108" s="178" t="s">
        <v>79</v>
      </c>
      <c r="E108" s="177" t="s">
        <v>80</v>
      </c>
      <c r="F108" s="5"/>
      <c r="G108" s="5"/>
      <c r="H108" s="5"/>
      <c r="I108" s="179" t="s">
        <v>81</v>
      </c>
      <c r="J108" s="179" t="s">
        <v>82</v>
      </c>
      <c r="K108" s="179"/>
      <c r="L108" s="179"/>
    </row>
    <row r="109" spans="1:24" x14ac:dyDescent="0.2">
      <c r="B109" s="5"/>
      <c r="C109" s="180" t="s">
        <v>83</v>
      </c>
      <c r="D109" s="181">
        <v>150000</v>
      </c>
      <c r="E109" s="182" t="s">
        <v>84</v>
      </c>
      <c r="F109" s="173"/>
      <c r="G109" s="5"/>
      <c r="H109" s="5"/>
      <c r="I109" s="183" t="s">
        <v>85</v>
      </c>
      <c r="J109" s="184" t="s">
        <v>86</v>
      </c>
      <c r="K109" s="184"/>
      <c r="L109" s="184"/>
    </row>
    <row r="110" spans="1:24" x14ac:dyDescent="0.2">
      <c r="B110" s="5"/>
      <c r="C110" s="185" t="s">
        <v>87</v>
      </c>
      <c r="D110" s="186">
        <v>180</v>
      </c>
      <c r="E110" s="182" t="s">
        <v>88</v>
      </c>
      <c r="F110" s="173"/>
      <c r="G110" s="5"/>
      <c r="H110" s="5"/>
      <c r="I110" s="183" t="s">
        <v>89</v>
      </c>
      <c r="J110" s="184" t="s">
        <v>90</v>
      </c>
      <c r="K110" s="184"/>
      <c r="L110" s="184"/>
    </row>
    <row r="111" spans="1:24" x14ac:dyDescent="0.2">
      <c r="B111" s="5"/>
      <c r="C111" s="180" t="s">
        <v>91</v>
      </c>
      <c r="D111" s="187" t="s">
        <v>92</v>
      </c>
      <c r="E111" s="182" t="s">
        <v>93</v>
      </c>
      <c r="F111" s="5"/>
      <c r="G111" s="5"/>
      <c r="H111" s="5"/>
      <c r="I111" s="183" t="s">
        <v>94</v>
      </c>
      <c r="J111" s="184" t="s">
        <v>95</v>
      </c>
      <c r="K111" s="184"/>
      <c r="L111" s="184"/>
    </row>
    <row r="112" spans="1:24" x14ac:dyDescent="0.2">
      <c r="B112" s="138"/>
      <c r="C112" s="180" t="s">
        <v>96</v>
      </c>
      <c r="D112" s="188" t="s">
        <v>97</v>
      </c>
      <c r="E112" s="182" t="s">
        <v>98</v>
      </c>
      <c r="F112" s="5"/>
      <c r="G112" s="5"/>
      <c r="H112" s="5"/>
      <c r="I112" s="183" t="s">
        <v>99</v>
      </c>
      <c r="J112" s="184" t="s">
        <v>100</v>
      </c>
      <c r="K112" s="184"/>
      <c r="L112" s="184"/>
    </row>
    <row r="113" spans="2:12" x14ac:dyDescent="0.2">
      <c r="B113" s="138"/>
      <c r="C113" s="180" t="s">
        <v>101</v>
      </c>
      <c r="D113" s="189">
        <v>12</v>
      </c>
      <c r="E113" s="182" t="s">
        <v>102</v>
      </c>
      <c r="F113" s="5"/>
      <c r="G113" s="5"/>
      <c r="H113" s="5"/>
      <c r="I113" s="183" t="s">
        <v>103</v>
      </c>
      <c r="J113" s="184" t="s">
        <v>104</v>
      </c>
      <c r="K113" s="184"/>
      <c r="L113" s="184"/>
    </row>
    <row r="114" spans="2:12" x14ac:dyDescent="0.2">
      <c r="B114" s="138"/>
      <c r="C114" s="180" t="s">
        <v>105</v>
      </c>
      <c r="D114" s="190">
        <v>684</v>
      </c>
      <c r="E114" s="182" t="s">
        <v>106</v>
      </c>
      <c r="F114" s="5"/>
      <c r="G114" s="5"/>
      <c r="H114" s="5"/>
      <c r="I114" s="183" t="s">
        <v>107</v>
      </c>
      <c r="J114" s="184" t="s">
        <v>108</v>
      </c>
      <c r="K114" s="184"/>
      <c r="L114" s="184"/>
    </row>
    <row r="115" spans="2:12" x14ac:dyDescent="0.2">
      <c r="B115" s="138"/>
      <c r="C115" s="180" t="s">
        <v>109</v>
      </c>
      <c r="D115" s="181">
        <v>30</v>
      </c>
      <c r="E115" s="182" t="s">
        <v>110</v>
      </c>
      <c r="F115" s="5"/>
      <c r="G115" s="5"/>
      <c r="H115" s="5"/>
      <c r="I115" s="183" t="s">
        <v>111</v>
      </c>
      <c r="J115" s="184" t="s">
        <v>112</v>
      </c>
      <c r="K115" s="184"/>
      <c r="L115" s="184"/>
    </row>
    <row r="116" spans="2:12" x14ac:dyDescent="0.2">
      <c r="B116" s="138"/>
      <c r="C116" s="5"/>
      <c r="D116" s="5"/>
      <c r="E116" s="5"/>
      <c r="F116" s="5"/>
      <c r="G116" s="5"/>
      <c r="H116" s="5"/>
      <c r="I116" s="183" t="s">
        <v>113</v>
      </c>
      <c r="J116" s="184" t="s">
        <v>114</v>
      </c>
      <c r="K116" s="184"/>
      <c r="L116" s="184"/>
    </row>
    <row r="117" spans="2:12" x14ac:dyDescent="0.2">
      <c r="B117" s="138"/>
      <c r="C117" s="138"/>
      <c r="D117" s="4"/>
      <c r="E117" s="5"/>
      <c r="F117" s="5"/>
      <c r="G117" s="5"/>
      <c r="H117" s="5"/>
      <c r="I117" s="183" t="s">
        <v>115</v>
      </c>
      <c r="J117" s="184" t="s">
        <v>116</v>
      </c>
      <c r="K117" s="184"/>
      <c r="L117" s="184"/>
    </row>
    <row r="118" spans="2:12" x14ac:dyDescent="0.2">
      <c r="B118" s="138"/>
      <c r="C118" s="138"/>
      <c r="D118" s="4"/>
      <c r="E118" s="5"/>
      <c r="F118" s="5"/>
      <c r="G118" s="5"/>
      <c r="H118" s="5"/>
      <c r="I118" s="183" t="s">
        <v>117</v>
      </c>
      <c r="J118" s="184" t="s">
        <v>118</v>
      </c>
      <c r="K118" s="184"/>
      <c r="L118" s="184"/>
    </row>
    <row r="119" spans="2:12" x14ac:dyDescent="0.2">
      <c r="B119" s="138"/>
      <c r="C119" s="138"/>
      <c r="D119" s="4"/>
      <c r="E119" s="5"/>
      <c r="F119" s="5"/>
      <c r="G119" s="5"/>
      <c r="H119" s="5"/>
      <c r="I119" s="183" t="s">
        <v>119</v>
      </c>
      <c r="J119" s="184" t="s">
        <v>120</v>
      </c>
      <c r="K119" s="184"/>
      <c r="L119" s="184"/>
    </row>
    <row r="120" spans="2:12" x14ac:dyDescent="0.2">
      <c r="B120" s="138"/>
      <c r="C120" s="138"/>
      <c r="D120" s="4"/>
      <c r="E120" s="5"/>
      <c r="F120" s="5"/>
      <c r="G120" s="5"/>
      <c r="H120" s="5"/>
      <c r="I120" s="183" t="s">
        <v>121</v>
      </c>
      <c r="J120" s="184" t="s">
        <v>122</v>
      </c>
      <c r="K120" s="184"/>
      <c r="L120" s="184"/>
    </row>
    <row r="121" spans="2:12" x14ac:dyDescent="0.2">
      <c r="B121" s="138"/>
      <c r="C121" s="138"/>
      <c r="D121" s="4"/>
      <c r="E121" s="5"/>
      <c r="F121" s="5"/>
      <c r="G121" s="5"/>
      <c r="H121" s="5"/>
      <c r="I121" s="183" t="s">
        <v>123</v>
      </c>
      <c r="J121" s="184" t="s">
        <v>124</v>
      </c>
      <c r="K121" s="184"/>
      <c r="L121" s="184"/>
    </row>
    <row r="122" spans="2:12" x14ac:dyDescent="0.2">
      <c r="B122" s="138"/>
      <c r="C122" s="138"/>
      <c r="D122" s="4"/>
      <c r="E122" s="5"/>
      <c r="F122" s="5"/>
      <c r="G122" s="5"/>
      <c r="H122" s="5"/>
      <c r="I122" s="183" t="s">
        <v>125</v>
      </c>
      <c r="J122" s="184" t="s">
        <v>86</v>
      </c>
      <c r="K122" s="184"/>
      <c r="L122" s="184"/>
    </row>
    <row r="123" spans="2:12" x14ac:dyDescent="0.2">
      <c r="B123" s="138"/>
      <c r="C123" s="138"/>
      <c r="D123" s="4"/>
      <c r="E123" s="5"/>
      <c r="F123" s="5"/>
      <c r="G123" s="5"/>
      <c r="H123" s="5"/>
      <c r="I123" s="183" t="s">
        <v>126</v>
      </c>
      <c r="J123" s="184" t="s">
        <v>86</v>
      </c>
      <c r="K123" s="184"/>
      <c r="L123" s="184"/>
    </row>
    <row r="124" spans="2:12" x14ac:dyDescent="0.2">
      <c r="B124" s="138"/>
      <c r="C124" s="138"/>
      <c r="D124" s="4"/>
      <c r="E124" s="5"/>
      <c r="F124" s="5"/>
      <c r="G124" s="5"/>
      <c r="H124" s="5"/>
      <c r="I124" s="183" t="s">
        <v>127</v>
      </c>
      <c r="J124" s="184" t="s">
        <v>86</v>
      </c>
      <c r="K124" s="184"/>
      <c r="L124" s="184"/>
    </row>
    <row r="125" spans="2:12" x14ac:dyDescent="0.2">
      <c r="B125" s="138"/>
      <c r="C125" s="138"/>
      <c r="D125" s="4"/>
      <c r="E125" s="5"/>
      <c r="F125" s="5"/>
      <c r="G125" s="5"/>
      <c r="H125" s="5"/>
      <c r="I125" s="183" t="s">
        <v>128</v>
      </c>
      <c r="J125" s="184" t="s">
        <v>86</v>
      </c>
      <c r="K125" s="184"/>
      <c r="L125" s="184"/>
    </row>
    <row r="126" spans="2:12" x14ac:dyDescent="0.2">
      <c r="B126" s="138"/>
      <c r="C126" s="138"/>
      <c r="D126" s="4"/>
      <c r="E126" s="5"/>
      <c r="F126" s="5"/>
      <c r="G126" s="5"/>
      <c r="H126" s="5"/>
      <c r="I126" s="183" t="s">
        <v>129</v>
      </c>
      <c r="J126" s="184" t="s">
        <v>86</v>
      </c>
      <c r="K126" s="184"/>
      <c r="L126" s="184"/>
    </row>
    <row r="127" spans="2:12" x14ac:dyDescent="0.2">
      <c r="B127" s="138"/>
      <c r="C127" s="138"/>
      <c r="D127" s="4"/>
      <c r="E127" s="5"/>
      <c r="F127" s="5"/>
      <c r="G127" s="5"/>
      <c r="H127" s="5"/>
      <c r="I127" s="183" t="s">
        <v>130</v>
      </c>
      <c r="J127" s="184" t="s">
        <v>86</v>
      </c>
      <c r="K127" s="184"/>
      <c r="L127" s="184"/>
    </row>
    <row r="128" spans="2:12" x14ac:dyDescent="0.2">
      <c r="B128" s="138"/>
      <c r="C128" s="138"/>
      <c r="D128" s="4"/>
      <c r="E128" s="5"/>
      <c r="F128" s="5"/>
      <c r="G128" s="5"/>
      <c r="H128" s="5"/>
      <c r="I128" s="183" t="s">
        <v>131</v>
      </c>
      <c r="J128" s="184" t="s">
        <v>86</v>
      </c>
      <c r="K128" s="184"/>
      <c r="L128" s="184"/>
    </row>
    <row r="129" spans="2:17" x14ac:dyDescent="0.2">
      <c r="B129" s="138"/>
      <c r="C129" s="138"/>
      <c r="D129" s="4"/>
      <c r="E129" s="5"/>
      <c r="F129" s="5"/>
      <c r="G129" s="5"/>
      <c r="H129" s="219" t="s">
        <v>132</v>
      </c>
      <c r="I129" s="191" t="s">
        <v>133</v>
      </c>
      <c r="J129" s="192" t="s">
        <v>86</v>
      </c>
      <c r="K129" s="192"/>
      <c r="L129" s="193"/>
    </row>
    <row r="130" spans="2:17" x14ac:dyDescent="0.2">
      <c r="B130" s="138"/>
      <c r="C130" s="138"/>
      <c r="D130" s="4"/>
      <c r="E130" s="5"/>
      <c r="F130" s="5"/>
      <c r="G130" s="5"/>
      <c r="H130" s="219"/>
      <c r="I130" s="194" t="s">
        <v>134</v>
      </c>
      <c r="J130" s="184" t="s">
        <v>86</v>
      </c>
      <c r="K130" s="184"/>
      <c r="L130" s="195"/>
    </row>
    <row r="131" spans="2:17" x14ac:dyDescent="0.2">
      <c r="B131" s="138"/>
      <c r="C131" s="138"/>
      <c r="D131" s="4"/>
      <c r="E131" s="5"/>
      <c r="F131" s="5"/>
      <c r="G131" s="5"/>
      <c r="H131" s="219"/>
      <c r="I131" s="194" t="s">
        <v>135</v>
      </c>
      <c r="J131" s="184" t="s">
        <v>86</v>
      </c>
      <c r="K131" s="184"/>
      <c r="L131" s="195"/>
    </row>
    <row r="132" spans="2:17" x14ac:dyDescent="0.2">
      <c r="B132" s="138"/>
      <c r="C132" s="138"/>
      <c r="D132" s="4"/>
      <c r="E132" s="5"/>
      <c r="F132" s="5"/>
      <c r="G132" s="5"/>
      <c r="H132" s="219"/>
      <c r="I132" s="194" t="s">
        <v>136</v>
      </c>
      <c r="J132" s="184" t="s">
        <v>86</v>
      </c>
      <c r="K132" s="184"/>
      <c r="L132" s="195"/>
    </row>
    <row r="133" spans="2:17" x14ac:dyDescent="0.2">
      <c r="B133" s="138"/>
      <c r="C133" s="138"/>
      <c r="D133" s="4"/>
      <c r="E133" s="5"/>
      <c r="F133" s="5"/>
      <c r="G133" s="5"/>
      <c r="H133" s="219"/>
      <c r="I133" s="194" t="s">
        <v>137</v>
      </c>
      <c r="J133" s="184" t="s">
        <v>86</v>
      </c>
      <c r="K133" s="184"/>
      <c r="L133" s="195"/>
    </row>
    <row r="134" spans="2:17" x14ac:dyDescent="0.2">
      <c r="B134" s="138"/>
      <c r="C134" s="138"/>
      <c r="D134" s="4"/>
      <c r="E134" s="5"/>
      <c r="F134" s="5"/>
      <c r="G134" s="5"/>
      <c r="H134" s="219"/>
      <c r="I134" s="194" t="s">
        <v>138</v>
      </c>
      <c r="J134" s="184" t="s">
        <v>86</v>
      </c>
      <c r="K134" s="184"/>
      <c r="L134" s="195"/>
    </row>
    <row r="135" spans="2:17" x14ac:dyDescent="0.2">
      <c r="B135" s="138"/>
      <c r="C135" s="138"/>
      <c r="D135" s="4"/>
      <c r="E135" s="5"/>
      <c r="F135" s="5"/>
      <c r="G135" s="5"/>
      <c r="H135" s="219"/>
      <c r="I135" s="194" t="s">
        <v>139</v>
      </c>
      <c r="J135" s="184" t="s">
        <v>86</v>
      </c>
      <c r="K135" s="184"/>
      <c r="L135" s="195"/>
    </row>
    <row r="136" spans="2:17" x14ac:dyDescent="0.2">
      <c r="B136" s="138"/>
      <c r="C136" s="138"/>
      <c r="D136" s="4"/>
      <c r="E136" s="5"/>
      <c r="F136" s="5"/>
      <c r="G136" s="5"/>
      <c r="H136" s="219"/>
      <c r="I136" s="194" t="s">
        <v>140</v>
      </c>
      <c r="J136" s="184" t="s">
        <v>86</v>
      </c>
      <c r="K136" s="184"/>
      <c r="L136" s="195"/>
    </row>
    <row r="137" spans="2:17" x14ac:dyDescent="0.2">
      <c r="B137" s="138"/>
      <c r="C137" s="138"/>
      <c r="D137" s="4"/>
      <c r="E137" s="5"/>
      <c r="F137" s="5"/>
      <c r="G137" s="5"/>
      <c r="H137" s="219"/>
      <c r="I137" s="194" t="s">
        <v>141</v>
      </c>
      <c r="J137" s="184" t="s">
        <v>142</v>
      </c>
      <c r="K137" s="184"/>
      <c r="L137" s="195"/>
    </row>
    <row r="138" spans="2:17" x14ac:dyDescent="0.2">
      <c r="B138" s="138"/>
      <c r="C138" s="138"/>
      <c r="D138" s="4"/>
      <c r="E138" s="5"/>
      <c r="F138" s="5"/>
      <c r="G138" s="5"/>
      <c r="H138" s="219"/>
      <c r="I138" s="196" t="s">
        <v>143</v>
      </c>
      <c r="J138" s="197" t="s">
        <v>144</v>
      </c>
      <c r="K138" s="197"/>
      <c r="L138" s="198"/>
    </row>
    <row r="139" spans="2:17" x14ac:dyDescent="0.2">
      <c r="B139" s="199"/>
      <c r="C139" s="199"/>
      <c r="D139" s="199"/>
      <c r="I139" s="183"/>
      <c r="J139" s="184"/>
      <c r="K139" s="184"/>
      <c r="L139" s="184"/>
    </row>
    <row r="140" spans="2:17" x14ac:dyDescent="0.2">
      <c r="I140" s="5"/>
      <c r="J140" s="5"/>
      <c r="K140" s="5"/>
      <c r="L140" s="5"/>
      <c r="Q140" s="176" t="s">
        <v>145</v>
      </c>
    </row>
    <row r="141" spans="2:17" x14ac:dyDescent="0.2">
      <c r="I141" s="179" t="s">
        <v>146</v>
      </c>
      <c r="J141" s="200" t="s">
        <v>147</v>
      </c>
      <c r="K141" s="200" t="s">
        <v>148</v>
      </c>
      <c r="L141" s="200"/>
      <c r="M141" s="200" t="s">
        <v>149</v>
      </c>
      <c r="N141" s="179" t="s">
        <v>150</v>
      </c>
      <c r="O141" s="200"/>
      <c r="P141" s="179" t="s">
        <v>151</v>
      </c>
      <c r="Q141" s="200" t="s">
        <v>152</v>
      </c>
    </row>
    <row r="142" spans="2:17" x14ac:dyDescent="0.2">
      <c r="I142" s="201">
        <v>14</v>
      </c>
      <c r="J142" s="202"/>
      <c r="K142" s="203"/>
      <c r="L142" s="204"/>
      <c r="M142" s="202"/>
      <c r="N142" s="203"/>
      <c r="O142" s="204"/>
      <c r="P142" s="202"/>
      <c r="Q142" s="203"/>
    </row>
    <row r="143" spans="2:17" x14ac:dyDescent="0.2">
      <c r="I143" s="201">
        <v>15</v>
      </c>
      <c r="J143" s="202"/>
      <c r="K143" s="203"/>
      <c r="L143" s="204"/>
      <c r="M143" s="202"/>
      <c r="N143" s="203"/>
      <c r="O143" s="204"/>
      <c r="P143" s="202"/>
      <c r="Q143" s="203"/>
    </row>
    <row r="144" spans="2:17" x14ac:dyDescent="0.2">
      <c r="I144" s="201">
        <v>16</v>
      </c>
      <c r="J144" s="202"/>
      <c r="K144" s="203"/>
      <c r="L144" s="204"/>
      <c r="M144" s="202"/>
      <c r="N144" s="203"/>
      <c r="O144" s="204"/>
      <c r="P144" s="202"/>
      <c r="Q144" s="203"/>
    </row>
    <row r="145" spans="9:17" x14ac:dyDescent="0.2">
      <c r="I145" s="201">
        <v>17</v>
      </c>
      <c r="J145" s="205">
        <v>47000</v>
      </c>
      <c r="K145" s="206">
        <v>31.7</v>
      </c>
      <c r="L145" s="204"/>
      <c r="M145" s="205">
        <v>47000</v>
      </c>
      <c r="N145" s="206">
        <v>39.700000000000003</v>
      </c>
      <c r="O145" s="204"/>
      <c r="P145" s="205">
        <v>47000</v>
      </c>
      <c r="Q145" s="206">
        <v>35.65</v>
      </c>
    </row>
    <row r="146" spans="9:17" x14ac:dyDescent="0.2">
      <c r="I146" s="201">
        <v>18</v>
      </c>
      <c r="J146" s="205">
        <v>47000</v>
      </c>
      <c r="K146" s="206">
        <v>32.15</v>
      </c>
      <c r="L146" s="204"/>
      <c r="M146" s="205">
        <v>47000</v>
      </c>
      <c r="N146" s="206">
        <v>40.15</v>
      </c>
      <c r="O146" s="204"/>
      <c r="P146" s="205">
        <v>47000</v>
      </c>
      <c r="Q146" s="206">
        <v>36.200000000000003</v>
      </c>
    </row>
    <row r="147" spans="9:17" x14ac:dyDescent="0.2">
      <c r="I147" s="201">
        <v>19</v>
      </c>
      <c r="J147" s="205">
        <v>46000</v>
      </c>
      <c r="K147" s="206">
        <v>31.95</v>
      </c>
      <c r="L147" s="204"/>
      <c r="M147" s="205">
        <v>46000</v>
      </c>
      <c r="N147" s="206">
        <v>39.75</v>
      </c>
      <c r="O147" s="204"/>
      <c r="P147" s="205">
        <v>46000</v>
      </c>
      <c r="Q147" s="206">
        <v>35.9</v>
      </c>
    </row>
    <row r="148" spans="9:17" x14ac:dyDescent="0.2">
      <c r="I148" s="201">
        <v>20</v>
      </c>
      <c r="J148" s="205">
        <v>46000</v>
      </c>
      <c r="K148" s="206">
        <v>31.95</v>
      </c>
      <c r="L148" s="204"/>
      <c r="M148" s="205">
        <v>46000</v>
      </c>
      <c r="N148" s="206">
        <v>39.75</v>
      </c>
      <c r="O148" s="204"/>
      <c r="P148" s="205">
        <v>46000</v>
      </c>
      <c r="Q148" s="206">
        <v>35.9</v>
      </c>
    </row>
    <row r="149" spans="9:17" x14ac:dyDescent="0.2">
      <c r="I149" s="201">
        <v>21</v>
      </c>
      <c r="J149" s="205">
        <v>45000</v>
      </c>
      <c r="K149" s="206">
        <v>31.7</v>
      </c>
      <c r="L149" s="204"/>
      <c r="M149" s="205">
        <v>45000</v>
      </c>
      <c r="N149" s="206">
        <v>39.35</v>
      </c>
      <c r="O149" s="204"/>
      <c r="P149" s="205">
        <v>45000</v>
      </c>
      <c r="Q149" s="206">
        <v>35.5</v>
      </c>
    </row>
    <row r="150" spans="9:17" x14ac:dyDescent="0.2">
      <c r="I150" s="201">
        <v>22</v>
      </c>
      <c r="J150" s="205">
        <v>45000</v>
      </c>
      <c r="K150" s="206">
        <v>31.7</v>
      </c>
      <c r="L150" s="204"/>
      <c r="M150" s="205">
        <v>45000</v>
      </c>
      <c r="N150" s="206">
        <v>39.35</v>
      </c>
      <c r="O150" s="204"/>
      <c r="P150" s="205">
        <v>45000</v>
      </c>
      <c r="Q150" s="206">
        <v>35.5</v>
      </c>
    </row>
    <row r="151" spans="9:17" x14ac:dyDescent="0.2">
      <c r="I151" s="201">
        <v>23</v>
      </c>
      <c r="J151" s="205">
        <v>45000</v>
      </c>
      <c r="K151" s="206">
        <v>31.7</v>
      </c>
      <c r="L151" s="204"/>
      <c r="M151" s="205">
        <v>45000</v>
      </c>
      <c r="N151" s="206">
        <v>39.35</v>
      </c>
      <c r="O151" s="204"/>
      <c r="P151" s="205">
        <v>45000</v>
      </c>
      <c r="Q151" s="206">
        <v>35.5</v>
      </c>
    </row>
    <row r="152" spans="9:17" x14ac:dyDescent="0.2">
      <c r="I152" s="201">
        <v>24</v>
      </c>
      <c r="J152" s="205">
        <v>45000</v>
      </c>
      <c r="K152" s="206">
        <v>31.7</v>
      </c>
      <c r="L152" s="204"/>
      <c r="M152" s="205">
        <v>45000</v>
      </c>
      <c r="N152" s="206">
        <v>39.35</v>
      </c>
      <c r="O152" s="204"/>
      <c r="P152" s="205">
        <v>45000</v>
      </c>
      <c r="Q152" s="206">
        <v>35.5</v>
      </c>
    </row>
    <row r="153" spans="9:17" x14ac:dyDescent="0.2">
      <c r="I153" s="201">
        <v>25</v>
      </c>
      <c r="J153" s="205">
        <v>45000</v>
      </c>
      <c r="K153" s="206">
        <v>31.7</v>
      </c>
      <c r="L153" s="204"/>
      <c r="M153" s="205">
        <v>45000</v>
      </c>
      <c r="N153" s="206">
        <v>39.35</v>
      </c>
      <c r="O153" s="204"/>
      <c r="P153" s="205">
        <v>45000</v>
      </c>
      <c r="Q153" s="206">
        <v>35.5</v>
      </c>
    </row>
    <row r="154" spans="9:17" x14ac:dyDescent="0.2">
      <c r="I154" s="201">
        <v>26</v>
      </c>
      <c r="J154" s="205">
        <v>45000</v>
      </c>
      <c r="K154" s="206">
        <v>32.15</v>
      </c>
      <c r="L154" s="204"/>
      <c r="M154" s="205">
        <v>45000</v>
      </c>
      <c r="N154" s="206">
        <v>39.799999999999997</v>
      </c>
      <c r="O154" s="204"/>
      <c r="P154" s="205">
        <v>45000</v>
      </c>
      <c r="Q154" s="206">
        <v>36</v>
      </c>
    </row>
    <row r="155" spans="9:17" x14ac:dyDescent="0.2">
      <c r="I155" s="201">
        <v>27</v>
      </c>
      <c r="J155" s="205">
        <v>44000</v>
      </c>
      <c r="K155" s="206">
        <v>32.35</v>
      </c>
      <c r="L155" s="204"/>
      <c r="M155" s="205">
        <v>44000</v>
      </c>
      <c r="N155" s="206">
        <v>39.85</v>
      </c>
      <c r="O155" s="204"/>
      <c r="P155" s="205">
        <v>44000</v>
      </c>
      <c r="Q155" s="206">
        <v>36.1</v>
      </c>
    </row>
    <row r="156" spans="9:17" x14ac:dyDescent="0.2">
      <c r="I156" s="201">
        <v>28</v>
      </c>
      <c r="J156" s="205">
        <v>42000</v>
      </c>
      <c r="K156" s="206">
        <v>31.75</v>
      </c>
      <c r="L156" s="204"/>
      <c r="M156" s="205">
        <v>42000</v>
      </c>
      <c r="N156" s="206">
        <v>38.9</v>
      </c>
      <c r="O156" s="204"/>
      <c r="P156" s="205">
        <v>42000</v>
      </c>
      <c r="Q156" s="206">
        <v>35.299999999999997</v>
      </c>
    </row>
    <row r="157" spans="9:17" x14ac:dyDescent="0.2">
      <c r="I157" s="201">
        <v>29</v>
      </c>
      <c r="J157" s="205">
        <v>41000</v>
      </c>
      <c r="K157" s="206">
        <v>32.25</v>
      </c>
      <c r="L157" s="204"/>
      <c r="M157" s="205">
        <v>41000</v>
      </c>
      <c r="N157" s="206">
        <v>39.25</v>
      </c>
      <c r="O157" s="204"/>
      <c r="P157" s="205">
        <v>41000</v>
      </c>
      <c r="Q157" s="206">
        <v>35.700000000000003</v>
      </c>
    </row>
    <row r="158" spans="9:17" x14ac:dyDescent="0.2">
      <c r="I158" s="201">
        <v>30</v>
      </c>
      <c r="J158" s="205">
        <v>39000</v>
      </c>
      <c r="K158" s="206">
        <v>32.25</v>
      </c>
      <c r="L158" s="204"/>
      <c r="M158" s="205">
        <v>39000</v>
      </c>
      <c r="N158" s="206">
        <v>38.9</v>
      </c>
      <c r="O158" s="204"/>
      <c r="P158" s="205">
        <v>39000</v>
      </c>
      <c r="Q158" s="206">
        <v>35.549999999999997</v>
      </c>
    </row>
    <row r="159" spans="9:17" x14ac:dyDescent="0.2">
      <c r="I159" s="201">
        <v>31</v>
      </c>
      <c r="J159" s="205">
        <v>37000</v>
      </c>
      <c r="K159" s="206">
        <v>32.5</v>
      </c>
      <c r="L159" s="204"/>
      <c r="M159" s="205">
        <v>37000</v>
      </c>
      <c r="N159" s="206">
        <v>38.799999999999997</v>
      </c>
      <c r="O159" s="204"/>
      <c r="P159" s="205">
        <v>37000</v>
      </c>
      <c r="Q159" s="206">
        <v>35.65</v>
      </c>
    </row>
    <row r="160" spans="9:17" x14ac:dyDescent="0.2">
      <c r="I160" s="201">
        <v>32</v>
      </c>
      <c r="J160" s="205">
        <v>35000</v>
      </c>
      <c r="K160" s="206">
        <v>32.5</v>
      </c>
      <c r="L160" s="204"/>
      <c r="M160" s="205">
        <v>35000</v>
      </c>
      <c r="N160" s="206">
        <v>38.5</v>
      </c>
      <c r="O160" s="204"/>
      <c r="P160" s="205">
        <v>35000</v>
      </c>
      <c r="Q160" s="206">
        <v>35.5</v>
      </c>
    </row>
    <row r="161" spans="9:17" x14ac:dyDescent="0.2">
      <c r="I161" s="201">
        <v>33</v>
      </c>
      <c r="J161" s="205">
        <v>32000</v>
      </c>
      <c r="K161" s="206">
        <v>32.049999999999997</v>
      </c>
      <c r="L161" s="204"/>
      <c r="M161" s="205">
        <v>32000</v>
      </c>
      <c r="N161" s="206">
        <v>37.450000000000003</v>
      </c>
      <c r="O161" s="204"/>
      <c r="P161" s="205">
        <v>32000</v>
      </c>
      <c r="Q161" s="206">
        <v>34.75</v>
      </c>
    </row>
    <row r="162" spans="9:17" x14ac:dyDescent="0.2">
      <c r="I162" s="201">
        <v>34</v>
      </c>
      <c r="J162" s="205">
        <v>30000</v>
      </c>
      <c r="K162" s="206">
        <v>32.15</v>
      </c>
      <c r="L162" s="204"/>
      <c r="M162" s="205">
        <v>30000</v>
      </c>
      <c r="N162" s="206">
        <v>37.25</v>
      </c>
      <c r="O162" s="204"/>
      <c r="P162" s="205">
        <v>30000</v>
      </c>
      <c r="Q162" s="206">
        <v>34.700000000000003</v>
      </c>
    </row>
    <row r="163" spans="9:17" x14ac:dyDescent="0.2">
      <c r="I163" s="201">
        <v>35</v>
      </c>
      <c r="J163" s="205">
        <v>28000</v>
      </c>
      <c r="K163" s="206">
        <v>32.299999999999997</v>
      </c>
      <c r="L163" s="204"/>
      <c r="M163" s="205">
        <v>28000</v>
      </c>
      <c r="N163" s="206">
        <v>37.1</v>
      </c>
      <c r="O163" s="204"/>
      <c r="P163" s="205">
        <v>28000</v>
      </c>
      <c r="Q163" s="206">
        <v>34.700000000000003</v>
      </c>
    </row>
    <row r="164" spans="9:17" x14ac:dyDescent="0.2">
      <c r="I164" s="201">
        <v>36</v>
      </c>
      <c r="J164" s="205">
        <v>26000</v>
      </c>
      <c r="K164" s="206">
        <v>32.15</v>
      </c>
      <c r="L164" s="204"/>
      <c r="M164" s="205">
        <v>26000</v>
      </c>
      <c r="N164" s="206">
        <v>36.549999999999997</v>
      </c>
      <c r="O164" s="204"/>
      <c r="P164" s="205">
        <v>26000</v>
      </c>
      <c r="Q164" s="206">
        <v>34.35</v>
      </c>
    </row>
    <row r="165" spans="9:17" x14ac:dyDescent="0.2">
      <c r="I165" s="201">
        <v>37</v>
      </c>
      <c r="J165" s="205">
        <v>25000</v>
      </c>
      <c r="K165" s="206">
        <v>33.450000000000003</v>
      </c>
      <c r="L165" s="204"/>
      <c r="M165" s="205">
        <v>25000</v>
      </c>
      <c r="N165" s="206">
        <v>37.700000000000003</v>
      </c>
      <c r="O165" s="204"/>
      <c r="P165" s="205">
        <v>25000</v>
      </c>
      <c r="Q165" s="206">
        <v>35.549999999999997</v>
      </c>
    </row>
    <row r="166" spans="9:17" x14ac:dyDescent="0.2">
      <c r="I166" s="201">
        <v>38</v>
      </c>
      <c r="J166" s="205">
        <v>25000</v>
      </c>
      <c r="K166" s="206">
        <v>36</v>
      </c>
      <c r="L166" s="204"/>
      <c r="M166" s="205">
        <v>25000</v>
      </c>
      <c r="N166" s="206">
        <v>40.25</v>
      </c>
      <c r="O166" s="204"/>
      <c r="P166" s="205">
        <v>25000</v>
      </c>
      <c r="Q166" s="206">
        <v>38.1</v>
      </c>
    </row>
    <row r="167" spans="9:17" x14ac:dyDescent="0.2">
      <c r="I167" s="201">
        <v>39</v>
      </c>
      <c r="J167" s="205">
        <v>25000</v>
      </c>
      <c r="K167" s="206">
        <v>38.549999999999997</v>
      </c>
      <c r="L167" s="204"/>
      <c r="M167" s="205">
        <v>25000</v>
      </c>
      <c r="N167" s="206">
        <v>42.8</v>
      </c>
      <c r="O167" s="204"/>
      <c r="P167" s="205">
        <v>25000</v>
      </c>
      <c r="Q167" s="206">
        <v>40.65</v>
      </c>
    </row>
    <row r="168" spans="9:17" x14ac:dyDescent="0.2">
      <c r="I168" s="201">
        <v>40</v>
      </c>
      <c r="J168" s="205">
        <v>25000</v>
      </c>
      <c r="K168" s="206">
        <v>41.6</v>
      </c>
      <c r="L168" s="204"/>
      <c r="M168" s="205">
        <v>25000</v>
      </c>
      <c r="N168" s="206">
        <v>45.85</v>
      </c>
      <c r="O168" s="204"/>
      <c r="P168" s="205">
        <v>25000</v>
      </c>
      <c r="Q168" s="206">
        <v>43.75</v>
      </c>
    </row>
    <row r="169" spans="9:17" x14ac:dyDescent="0.2">
      <c r="I169" s="201">
        <v>41</v>
      </c>
      <c r="J169" s="205">
        <v>25000</v>
      </c>
      <c r="K169" s="206">
        <v>44.65</v>
      </c>
      <c r="L169" s="204"/>
      <c r="M169" s="205">
        <v>25000</v>
      </c>
      <c r="N169" s="206">
        <v>48.95</v>
      </c>
      <c r="O169" s="204"/>
      <c r="P169" s="205">
        <v>25000</v>
      </c>
      <c r="Q169" s="206">
        <v>46.8</v>
      </c>
    </row>
    <row r="170" spans="9:17" x14ac:dyDescent="0.2">
      <c r="I170" s="201">
        <v>42</v>
      </c>
      <c r="J170" s="205">
        <v>25000</v>
      </c>
      <c r="K170" s="206">
        <v>47.95</v>
      </c>
      <c r="L170" s="204"/>
      <c r="M170" s="205">
        <v>25000</v>
      </c>
      <c r="N170" s="206">
        <v>52.25</v>
      </c>
      <c r="O170" s="204"/>
      <c r="P170" s="205">
        <v>25000</v>
      </c>
      <c r="Q170" s="206">
        <v>50.1</v>
      </c>
    </row>
    <row r="171" spans="9:17" x14ac:dyDescent="0.2">
      <c r="I171" s="201">
        <v>43</v>
      </c>
      <c r="J171" s="205">
        <v>25000</v>
      </c>
      <c r="K171" s="206">
        <v>51.3</v>
      </c>
      <c r="L171" s="204"/>
      <c r="M171" s="205">
        <v>25000</v>
      </c>
      <c r="N171" s="206">
        <v>55.55</v>
      </c>
      <c r="O171" s="204"/>
      <c r="P171" s="205">
        <v>25000</v>
      </c>
      <c r="Q171" s="206">
        <v>53.4</v>
      </c>
    </row>
    <row r="172" spans="9:17" x14ac:dyDescent="0.2">
      <c r="I172" s="201">
        <v>44</v>
      </c>
      <c r="J172" s="205">
        <v>25000</v>
      </c>
      <c r="K172" s="206">
        <v>55.1</v>
      </c>
      <c r="L172" s="204"/>
      <c r="M172" s="205">
        <v>25000</v>
      </c>
      <c r="N172" s="206">
        <v>59.4</v>
      </c>
      <c r="O172" s="204"/>
      <c r="P172" s="205">
        <v>25000</v>
      </c>
      <c r="Q172" s="206">
        <v>57.25</v>
      </c>
    </row>
    <row r="173" spans="9:17" x14ac:dyDescent="0.2">
      <c r="I173" s="201">
        <v>45</v>
      </c>
      <c r="J173" s="205">
        <v>25000</v>
      </c>
      <c r="K173" s="206">
        <v>58.95</v>
      </c>
      <c r="L173" s="204"/>
      <c r="M173" s="205">
        <v>25000</v>
      </c>
      <c r="N173" s="206">
        <v>63.2</v>
      </c>
      <c r="O173" s="204"/>
      <c r="P173" s="205">
        <v>25000</v>
      </c>
      <c r="Q173" s="206">
        <v>61.05</v>
      </c>
    </row>
    <row r="174" spans="9:17" x14ac:dyDescent="0.2">
      <c r="I174" s="201">
        <v>46</v>
      </c>
      <c r="J174" s="205">
        <v>25000</v>
      </c>
      <c r="K174" s="206">
        <v>62.75</v>
      </c>
      <c r="L174" s="204"/>
      <c r="M174" s="205">
        <v>25000</v>
      </c>
      <c r="N174" s="206">
        <v>67.05</v>
      </c>
      <c r="O174" s="204"/>
      <c r="P174" s="205">
        <v>25000</v>
      </c>
      <c r="Q174" s="206">
        <v>64.900000000000006</v>
      </c>
    </row>
    <row r="175" spans="9:17" x14ac:dyDescent="0.2">
      <c r="I175" s="201">
        <v>47</v>
      </c>
      <c r="J175" s="205">
        <v>25000</v>
      </c>
      <c r="K175" s="206">
        <v>67.099999999999994</v>
      </c>
      <c r="L175" s="204"/>
      <c r="M175" s="205">
        <v>25000</v>
      </c>
      <c r="N175" s="206">
        <v>71.349999999999994</v>
      </c>
      <c r="O175" s="204"/>
      <c r="P175" s="205">
        <v>25000</v>
      </c>
      <c r="Q175" s="206">
        <v>69.25</v>
      </c>
    </row>
    <row r="176" spans="9:17" x14ac:dyDescent="0.2">
      <c r="I176" s="201">
        <v>48</v>
      </c>
      <c r="J176" s="205">
        <v>25000</v>
      </c>
      <c r="K176" s="206">
        <v>71.400000000000006</v>
      </c>
      <c r="L176" s="204"/>
      <c r="M176" s="205">
        <v>25000</v>
      </c>
      <c r="N176" s="206">
        <v>75.7</v>
      </c>
      <c r="O176" s="204"/>
      <c r="P176" s="205">
        <v>25000</v>
      </c>
      <c r="Q176" s="206">
        <v>73.55</v>
      </c>
    </row>
    <row r="177" spans="2:17" x14ac:dyDescent="0.2">
      <c r="I177" s="201">
        <v>49</v>
      </c>
      <c r="J177" s="205">
        <v>25000</v>
      </c>
      <c r="K177" s="206">
        <v>76</v>
      </c>
      <c r="L177" s="204"/>
      <c r="M177" s="205">
        <v>25000</v>
      </c>
      <c r="N177" s="206">
        <v>80.3</v>
      </c>
      <c r="O177" s="204"/>
      <c r="P177" s="205">
        <v>25000</v>
      </c>
      <c r="Q177" s="206">
        <v>78.150000000000006</v>
      </c>
    </row>
    <row r="178" spans="2:17" x14ac:dyDescent="0.2">
      <c r="I178" s="201">
        <v>50</v>
      </c>
      <c r="J178" s="205">
        <v>25000</v>
      </c>
      <c r="K178" s="206">
        <v>80.599999999999994</v>
      </c>
      <c r="L178" s="204"/>
      <c r="M178" s="205">
        <v>25000</v>
      </c>
      <c r="N178" s="206">
        <v>84.9</v>
      </c>
      <c r="O178" s="204"/>
      <c r="P178" s="205">
        <v>25000</v>
      </c>
      <c r="Q178" s="206">
        <v>82.75</v>
      </c>
    </row>
    <row r="179" spans="2:17" x14ac:dyDescent="0.2">
      <c r="I179" s="201">
        <v>51</v>
      </c>
      <c r="J179" s="205">
        <v>25000</v>
      </c>
      <c r="K179" s="206">
        <v>109.15</v>
      </c>
      <c r="L179" s="204"/>
      <c r="M179" s="205">
        <v>25000</v>
      </c>
      <c r="N179" s="206">
        <v>113.45</v>
      </c>
      <c r="O179" s="204"/>
      <c r="P179" s="205">
        <v>25000</v>
      </c>
      <c r="Q179" s="206">
        <v>111.3</v>
      </c>
    </row>
    <row r="180" spans="2:17" x14ac:dyDescent="0.2">
      <c r="I180" s="201">
        <v>52</v>
      </c>
      <c r="J180" s="205">
        <v>25000</v>
      </c>
      <c r="K180" s="206">
        <v>115.55</v>
      </c>
      <c r="L180" s="204"/>
      <c r="M180" s="205">
        <v>25000</v>
      </c>
      <c r="N180" s="206">
        <v>119.8</v>
      </c>
      <c r="O180" s="204"/>
      <c r="P180" s="205">
        <v>25000</v>
      </c>
      <c r="Q180" s="206">
        <v>117.7</v>
      </c>
    </row>
    <row r="181" spans="2:17" x14ac:dyDescent="0.2">
      <c r="I181" s="5"/>
      <c r="J181" s="5"/>
      <c r="K181" s="5"/>
      <c r="L181" s="5"/>
    </row>
    <row r="182" spans="2:17" x14ac:dyDescent="0.2">
      <c r="J182" s="5"/>
      <c r="K182" s="176" t="s">
        <v>153</v>
      </c>
      <c r="L182" s="5"/>
    </row>
    <row r="183" spans="2:17" x14ac:dyDescent="0.2">
      <c r="I183" s="207" t="s">
        <v>154</v>
      </c>
      <c r="J183" s="207" t="s">
        <v>155</v>
      </c>
      <c r="K183" s="207" t="s">
        <v>156</v>
      </c>
      <c r="L183" s="5"/>
    </row>
    <row r="184" spans="2:17" x14ac:dyDescent="0.2">
      <c r="I184" s="207" t="s">
        <v>157</v>
      </c>
      <c r="J184" s="5" t="s">
        <v>148</v>
      </c>
      <c r="K184" s="5" t="s">
        <v>147</v>
      </c>
      <c r="L184" s="5"/>
    </row>
    <row r="185" spans="2:17" x14ac:dyDescent="0.2">
      <c r="I185" s="207" t="s">
        <v>158</v>
      </c>
      <c r="J185" s="5" t="s">
        <v>152</v>
      </c>
      <c r="K185" s="5" t="s">
        <v>151</v>
      </c>
      <c r="L185" s="5"/>
    </row>
    <row r="186" spans="2:17" x14ac:dyDescent="0.2">
      <c r="I186" s="207" t="s">
        <v>159</v>
      </c>
      <c r="J186" s="5" t="s">
        <v>160</v>
      </c>
      <c r="K186" s="5" t="s">
        <v>149</v>
      </c>
      <c r="L186" s="5"/>
    </row>
    <row r="187" spans="2:17" x14ac:dyDescent="0.2">
      <c r="B187" s="208"/>
      <c r="C187" s="208"/>
      <c r="D187" s="208"/>
      <c r="E187" s="208"/>
      <c r="F187" s="208"/>
      <c r="G187" s="208"/>
      <c r="H187" s="208"/>
    </row>
    <row r="188" spans="2:17" x14ac:dyDescent="0.2">
      <c r="B188" s="208"/>
      <c r="C188" s="208"/>
      <c r="D188" s="208"/>
      <c r="E188" s="208"/>
      <c r="F188" s="208"/>
      <c r="G188" s="208"/>
      <c r="H188" s="208"/>
    </row>
    <row r="189" spans="2:17" x14ac:dyDescent="0.2">
      <c r="B189" s="208"/>
      <c r="C189" s="208"/>
      <c r="D189" s="208"/>
      <c r="E189" s="208"/>
      <c r="F189" s="208"/>
      <c r="G189" s="208"/>
      <c r="H189" s="208"/>
    </row>
    <row r="190" spans="2:17" x14ac:dyDescent="0.2">
      <c r="B190" s="208"/>
      <c r="C190" s="208"/>
      <c r="D190" s="208"/>
      <c r="E190" s="208"/>
      <c r="F190" s="208"/>
      <c r="G190" s="208"/>
      <c r="H190" s="208"/>
    </row>
    <row r="191" spans="2:17" x14ac:dyDescent="0.2">
      <c r="B191" s="208"/>
      <c r="C191" s="208"/>
      <c r="D191" s="208"/>
      <c r="E191" s="208"/>
      <c r="F191" s="208"/>
      <c r="G191" s="208"/>
      <c r="H191" s="208"/>
    </row>
    <row r="192" spans="2:17" x14ac:dyDescent="0.2">
      <c r="B192" s="208"/>
      <c r="C192" s="208"/>
      <c r="D192" s="208"/>
      <c r="E192" s="208"/>
      <c r="F192" s="208"/>
      <c r="G192" s="208"/>
      <c r="H192" s="208"/>
    </row>
    <row r="193" spans="2:8" x14ac:dyDescent="0.2">
      <c r="B193" s="208"/>
      <c r="C193" s="208"/>
      <c r="D193" s="208"/>
      <c r="E193" s="208"/>
      <c r="F193" s="208"/>
      <c r="G193" s="208"/>
      <c r="H193" s="208"/>
    </row>
    <row r="194" spans="2:8" x14ac:dyDescent="0.2">
      <c r="B194" s="208"/>
      <c r="C194" s="208"/>
      <c r="D194" s="208"/>
      <c r="E194" s="208"/>
      <c r="F194" s="208"/>
      <c r="G194" s="208"/>
      <c r="H194" s="208"/>
    </row>
    <row r="195" spans="2:8" x14ac:dyDescent="0.2">
      <c r="B195" s="208"/>
      <c r="C195" s="208"/>
      <c r="D195" s="208"/>
      <c r="E195" s="208"/>
      <c r="F195" s="208"/>
      <c r="G195" s="208"/>
      <c r="H195" s="208"/>
    </row>
  </sheetData>
  <mergeCells count="64">
    <mergeCell ref="A2:D2"/>
    <mergeCell ref="A3:B3"/>
    <mergeCell ref="A4:B4"/>
    <mergeCell ref="A5:B5"/>
    <mergeCell ref="A6:B6"/>
    <mergeCell ref="C6:E6"/>
    <mergeCell ref="A15:B15"/>
    <mergeCell ref="A7:B7"/>
    <mergeCell ref="A8:B8"/>
    <mergeCell ref="D8:E8"/>
    <mergeCell ref="A9:B9"/>
    <mergeCell ref="A10:B10"/>
    <mergeCell ref="C10:E10"/>
    <mergeCell ref="A11:B11"/>
    <mergeCell ref="A12:B12"/>
    <mergeCell ref="A13:B13"/>
    <mergeCell ref="A14:B14"/>
    <mergeCell ref="C14:E14"/>
    <mergeCell ref="C36:D36"/>
    <mergeCell ref="A16:B16"/>
    <mergeCell ref="C16:E16"/>
    <mergeCell ref="A18:B18"/>
    <mergeCell ref="C18:E18"/>
    <mergeCell ref="A20:B20"/>
    <mergeCell ref="A21:B21"/>
    <mergeCell ref="A31:B31"/>
    <mergeCell ref="B32:D32"/>
    <mergeCell ref="C33:D33"/>
    <mergeCell ref="C34:D34"/>
    <mergeCell ref="C35:D35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G87:H87"/>
    <mergeCell ref="A49:D49"/>
    <mergeCell ref="A50:D50"/>
    <mergeCell ref="A51:D51"/>
    <mergeCell ref="A53:B53"/>
    <mergeCell ref="A54:B54"/>
    <mergeCell ref="E65:F65"/>
    <mergeCell ref="A79:B79"/>
    <mergeCell ref="A80:B80"/>
    <mergeCell ref="G82:H82"/>
    <mergeCell ref="G85:H85"/>
    <mergeCell ref="G86:H86"/>
    <mergeCell ref="A95:B95"/>
    <mergeCell ref="A96:F96"/>
    <mergeCell ref="A106:H106"/>
    <mergeCell ref="H129:H138"/>
    <mergeCell ref="A88:D88"/>
    <mergeCell ref="A89:B89"/>
    <mergeCell ref="A91:B91"/>
    <mergeCell ref="A92:F92"/>
    <mergeCell ref="A93:B93"/>
    <mergeCell ref="A94:F94"/>
  </mergeCells>
  <conditionalFormatting sqref="G87:H87">
    <cfRule type="expression" dxfId="0" priority="1" stopIfTrue="1">
      <formula>MTD&gt;D114</formula>
    </cfRule>
  </conditionalFormatting>
  <dataValidations count="3">
    <dataValidation type="list" allowBlank="1" showInputMessage="1" showErrorMessage="1" sqref="C59" xr:uid="{12D31FF6-0AE6-451B-9F67-7CF049F7BEB3}">
      <formula1>"12, 24, 36, 48, 60, 72, 84, 96, 108, 120,132, 144"</formula1>
    </dataValidation>
    <dataValidation type="list" allowBlank="1" showInputMessage="1" showErrorMessage="1" sqref="H22" xr:uid="{56315F5A-E0C3-44A7-A09F-05FBFC710B98}">
      <formula1>"Jan-2023, Feb-2023, Mar-2023, Apr-2023, May-2023, Jun-2023, Jul-2023, Aug-2023, Sep-2023, Oct-2023, Nov-2023, Dec-2023"</formula1>
    </dataValidation>
    <dataValidation type="list" allowBlank="1" showInputMessage="1" showErrorMessage="1" sqref="H8" xr:uid="{D69C59C5-9757-43D8-A426-C1C5EF238F99}">
      <formula1>"M,F"</formula1>
    </dataValidation>
  </dataValidations>
  <pageMargins left="0.74803149606299202" right="0.23622047244094499" top="0.78740157480314998" bottom="0.196850393700787" header="0.39370078740157499" footer="0"/>
  <pageSetup paperSize="9" scale="70" orientation="portrait" r:id="rId1"/>
  <headerFooter alignWithMargins="0">
    <oddHeader>&amp;C&amp;"Times New Roman,Bold"&amp;18XANDERIA KANZ AN-NUR (JCL)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164</vt:i4>
      </vt:variant>
    </vt:vector>
  </HeadingPairs>
  <TitlesOfParts>
    <vt:vector size="165" baseType="lpstr">
      <vt:lpstr>Calculator</vt:lpstr>
      <vt:lpstr>Calculator!_0101ref</vt:lpstr>
      <vt:lpstr>Calculator!_0201</vt:lpstr>
      <vt:lpstr>Calculator!_0201ref</vt:lpstr>
      <vt:lpstr>Calculator!_0801</vt:lpstr>
      <vt:lpstr>Calculator!_0801ref</vt:lpstr>
      <vt:lpstr>Calculator!_fee1</vt:lpstr>
      <vt:lpstr>Calculator!_fee2</vt:lpstr>
      <vt:lpstr>Calculator!_fee3</vt:lpstr>
      <vt:lpstr>Calculator!_PIF1</vt:lpstr>
      <vt:lpstr>Calculator!_PIF10</vt:lpstr>
      <vt:lpstr>Calculator!_PIF11</vt:lpstr>
      <vt:lpstr>Calculator!_PIF2</vt:lpstr>
      <vt:lpstr>Calculator!_PIF3</vt:lpstr>
      <vt:lpstr>Calculator!_PIF4</vt:lpstr>
      <vt:lpstr>Calculator!_PIF5</vt:lpstr>
      <vt:lpstr>Calculator!_PIF6</vt:lpstr>
      <vt:lpstr>Calculator!_PIF7</vt:lpstr>
      <vt:lpstr>Calculator!_PIF8</vt:lpstr>
      <vt:lpstr>Calculator!_PIF9</vt:lpstr>
      <vt:lpstr>Calculator!_sub4</vt:lpstr>
      <vt:lpstr>Calculator!adjust</vt:lpstr>
      <vt:lpstr>Calculator!agentcontact</vt:lpstr>
      <vt:lpstr>Calculator!agentID</vt:lpstr>
      <vt:lpstr>Calculator!agentName</vt:lpstr>
      <vt:lpstr>Calculator!approvedBy</vt:lpstr>
      <vt:lpstr>Calculator!approvedDate</vt:lpstr>
      <vt:lpstr>Calculator!bpaAgeLoanMature</vt:lpstr>
      <vt:lpstr>Calculator!bpaDedAmt1</vt:lpstr>
      <vt:lpstr>Calculator!bpaDedAmt2</vt:lpstr>
      <vt:lpstr>Calculator!bpaDedAmt3</vt:lpstr>
      <vt:lpstr>Calculator!bpaDedAmt4</vt:lpstr>
      <vt:lpstr>Calculator!bpaDedAmt5</vt:lpstr>
      <vt:lpstr>Calculator!bpaDedCod1</vt:lpstr>
      <vt:lpstr>Calculator!bpaDedCod2</vt:lpstr>
      <vt:lpstr>Calculator!bpaDedCod3</vt:lpstr>
      <vt:lpstr>Calculator!bpaDedCod4</vt:lpstr>
      <vt:lpstr>Calculator!bpaDedCod5</vt:lpstr>
      <vt:lpstr>Calculator!bpaDedLimit</vt:lpstr>
      <vt:lpstr>Calculator!bpaDedTotal</vt:lpstr>
      <vt:lpstr>Calculator!bpaEndMth1</vt:lpstr>
      <vt:lpstr>Calculator!bpaEndMth2</vt:lpstr>
      <vt:lpstr>Calculator!bpaEndMth3</vt:lpstr>
      <vt:lpstr>Calculator!bpaEndMth4</vt:lpstr>
      <vt:lpstr>Calculator!bpaEndMth5</vt:lpstr>
      <vt:lpstr>Calculator!bpaStrMth1</vt:lpstr>
      <vt:lpstr>Calculator!bpaStrMth2</vt:lpstr>
      <vt:lpstr>Calculator!bpaStrMth3</vt:lpstr>
      <vt:lpstr>Calculator!bpaStrMth4</vt:lpstr>
      <vt:lpstr>Calculator!bpaStrMth5</vt:lpstr>
      <vt:lpstr>Calculator!calcDate</vt:lpstr>
      <vt:lpstr>Calculator!custAgeNext</vt:lpstr>
      <vt:lpstr>Calculator!custBank</vt:lpstr>
      <vt:lpstr>Calculator!custCompany</vt:lpstr>
      <vt:lpstr>Calculator!custContact</vt:lpstr>
      <vt:lpstr>Calculator!custContact2</vt:lpstr>
      <vt:lpstr>Calculator!custDateEmploy</vt:lpstr>
      <vt:lpstr>Calculator!custDOB</vt:lpstr>
      <vt:lpstr>Calculator!custDuct</vt:lpstr>
      <vt:lpstr>Calculator!custFixed</vt:lpstr>
      <vt:lpstr>Calculator!custFixedTotal</vt:lpstr>
      <vt:lpstr>Calculator!CustGender</vt:lpstr>
      <vt:lpstr>Calculator!custHeight</vt:lpstr>
      <vt:lpstr>Calculator!custIC</vt:lpstr>
      <vt:lpstr>Calculator!custName</vt:lpstr>
      <vt:lpstr>Calculator!custPosition</vt:lpstr>
      <vt:lpstr>Calculator!custRace</vt:lpstr>
      <vt:lpstr>Calculator!custResident</vt:lpstr>
      <vt:lpstr>Calculator!custWeight</vt:lpstr>
      <vt:lpstr>Calculator!detCode1</vt:lpstr>
      <vt:lpstr>Calculator!detCode10</vt:lpstr>
      <vt:lpstr>Calculator!detCode11</vt:lpstr>
      <vt:lpstr>Calculator!detCode2</vt:lpstr>
      <vt:lpstr>Calculator!detCode3</vt:lpstr>
      <vt:lpstr>Calculator!detCode4</vt:lpstr>
      <vt:lpstr>Calculator!detCode5</vt:lpstr>
      <vt:lpstr>Calculator!detCode6</vt:lpstr>
      <vt:lpstr>Calculator!detCode7</vt:lpstr>
      <vt:lpstr>Calculator!detCode8</vt:lpstr>
      <vt:lpstr>Calculator!detCode9</vt:lpstr>
      <vt:lpstr>Calculator!detView1</vt:lpstr>
      <vt:lpstr>Calculator!detView10</vt:lpstr>
      <vt:lpstr>Calculator!detView11</vt:lpstr>
      <vt:lpstr>Calculator!detView2</vt:lpstr>
      <vt:lpstr>Calculator!detView3</vt:lpstr>
      <vt:lpstr>Calculator!detView4</vt:lpstr>
      <vt:lpstr>Calculator!detView5</vt:lpstr>
      <vt:lpstr>Calculator!detView6</vt:lpstr>
      <vt:lpstr>Calculator!detView7</vt:lpstr>
      <vt:lpstr>Calculator!detView8</vt:lpstr>
      <vt:lpstr>Calculator!detView9</vt:lpstr>
      <vt:lpstr>Calculator!disburse</vt:lpstr>
      <vt:lpstr>Calculator!InstTotal</vt:lpstr>
      <vt:lpstr>Calculator!insuran</vt:lpstr>
      <vt:lpstr>Calculator!insuranref</vt:lpstr>
      <vt:lpstr>Calculator!Interest</vt:lpstr>
      <vt:lpstr>Calculator!jobCode</vt:lpstr>
      <vt:lpstr>Calculator!LA</vt:lpstr>
      <vt:lpstr>Calculator!loanInst</vt:lpstr>
      <vt:lpstr>Calculator!loanInstref</vt:lpstr>
      <vt:lpstr>Calculator!max</vt:lpstr>
      <vt:lpstr>Calculator!maxDeduct</vt:lpstr>
      <vt:lpstr>Calculator!maxLoan</vt:lpstr>
      <vt:lpstr>Calculator!maxTimes</vt:lpstr>
      <vt:lpstr>Calculator!MTD</vt:lpstr>
      <vt:lpstr>Calculator!newNetSalary</vt:lpstr>
      <vt:lpstr>Calculator!OldNetSalary</vt:lpstr>
      <vt:lpstr>Calculator!PayslipMonth</vt:lpstr>
      <vt:lpstr>Calculator!PIFEst1</vt:lpstr>
      <vt:lpstr>Calculator!PIFEst10</vt:lpstr>
      <vt:lpstr>Calculator!PIFEst11</vt:lpstr>
      <vt:lpstr>Calculator!PIFEst2</vt:lpstr>
      <vt:lpstr>Calculator!PIFEst3</vt:lpstr>
      <vt:lpstr>Calculator!PIFEst4</vt:lpstr>
      <vt:lpstr>Calculator!PIFEst5</vt:lpstr>
      <vt:lpstr>Calculator!PIFEst6</vt:lpstr>
      <vt:lpstr>Calculator!PIFEst7</vt:lpstr>
      <vt:lpstr>Calculator!PIFEst8</vt:lpstr>
      <vt:lpstr>Calculator!PIFEst9</vt:lpstr>
      <vt:lpstr>Calculator!PIFMonth1</vt:lpstr>
      <vt:lpstr>Calculator!PIFMonth10</vt:lpstr>
      <vt:lpstr>Calculator!PIFMonth11</vt:lpstr>
      <vt:lpstr>Calculator!PIFMonth2</vt:lpstr>
      <vt:lpstr>Calculator!PIFMonth3</vt:lpstr>
      <vt:lpstr>Calculator!PIFMonth4</vt:lpstr>
      <vt:lpstr>Calculator!PIFMonth5</vt:lpstr>
      <vt:lpstr>Calculator!PIFMonth6</vt:lpstr>
      <vt:lpstr>Calculator!PIFMonth7</vt:lpstr>
      <vt:lpstr>Calculator!PIFMonth8</vt:lpstr>
      <vt:lpstr>Calculator!PIFMonth9</vt:lpstr>
      <vt:lpstr>Calculator!PIFMonthTotal</vt:lpstr>
      <vt:lpstr>Calculator!PIFTotal</vt:lpstr>
      <vt:lpstr>Calculator!Print_Area</vt:lpstr>
      <vt:lpstr>Calculator!processedBy</vt:lpstr>
      <vt:lpstr>Calculator!Qualified</vt:lpstr>
      <vt:lpstr>Calculator!QualifyWoutSettlement</vt:lpstr>
      <vt:lpstr>Calculator!Receivable</vt:lpstr>
      <vt:lpstr>Calculator!recommendBy</vt:lpstr>
      <vt:lpstr>Calculator!recvdDate</vt:lpstr>
      <vt:lpstr>Calculator!refno</vt:lpstr>
      <vt:lpstr>Calculator!remLine1</vt:lpstr>
      <vt:lpstr>Calculator!remLine2</vt:lpstr>
      <vt:lpstr>Calculator!remLine3</vt:lpstr>
      <vt:lpstr>Calculator!remLine4</vt:lpstr>
      <vt:lpstr>Calculator!SA</vt:lpstr>
      <vt:lpstr>Calculator!serialNo</vt:lpstr>
      <vt:lpstr>Calculator!setDet1</vt:lpstr>
      <vt:lpstr>Calculator!setDet10</vt:lpstr>
      <vt:lpstr>Calculator!setDet11</vt:lpstr>
      <vt:lpstr>Calculator!setDet2</vt:lpstr>
      <vt:lpstr>Calculator!setDet3</vt:lpstr>
      <vt:lpstr>Calculator!setDet4</vt:lpstr>
      <vt:lpstr>Calculator!setDet5</vt:lpstr>
      <vt:lpstr>Calculator!setDet6</vt:lpstr>
      <vt:lpstr>Calculator!setDet7</vt:lpstr>
      <vt:lpstr>Calculator!setDet8</vt:lpstr>
      <vt:lpstr>Calculator!setDet9</vt:lpstr>
      <vt:lpstr>Calculator!SFund</vt:lpstr>
      <vt:lpstr>Calculator!signBy</vt:lpstr>
      <vt:lpstr>Calculator!Term</vt:lpstr>
      <vt:lpstr>Calculator!TermRef</vt:lpstr>
      <vt:lpstr>Calculator!testPR</vt:lpstr>
      <vt:lpstr>Calculator!testSA</vt:lpstr>
      <vt:lpstr>Calculator!weight</vt:lpstr>
      <vt:lpstr>Calculator!Yuran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a24745</dc:creator>
  <cp:keywords/>
  <dc:description/>
  <cp:lastModifiedBy>aish14.ef@gmail.com</cp:lastModifiedBy>
  <cp:revision/>
  <cp:lastPrinted>2025-10-22T06:53:40Z</cp:lastPrinted>
  <dcterms:created xsi:type="dcterms:W3CDTF">2025-03-19T23:58:04Z</dcterms:created>
  <dcterms:modified xsi:type="dcterms:W3CDTF">2025-10-22T11:31:18Z</dcterms:modified>
  <cp:category/>
  <cp:contentStatus/>
</cp:coreProperties>
</file>